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pptx" ContentType="application/vnd.openxmlformats-officedocument.presentationml.presentatio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atrick.m.fitzsimmon\Desktop\"/>
    </mc:Choice>
  </mc:AlternateContent>
  <bookViews>
    <workbookView xWindow="0" yWindow="420" windowWidth="28800" windowHeight="12090" activeTab="2"/>
  </bookViews>
  <sheets>
    <sheet name="W &amp; B" sheetId="1" r:id="rId1"/>
    <sheet name="CG Envelope" sheetId="5" r:id="rId2"/>
    <sheet name="TH-57C" sheetId="8" r:id="rId3"/>
    <sheet name="TH-57B" sheetId="9" r:id="rId4"/>
    <sheet name="TH-73A" sheetId="10" r:id="rId5"/>
    <sheet name="Data" sheetId="3" r:id="rId6"/>
    <sheet name="How-to-update" sheetId="7" r:id="rId7"/>
    <sheet name="PA_DA_HIGE_HOGE" sheetId="6" state="hidden" r:id="rId8"/>
    <sheet name="AOB Power Addition" sheetId="4" state="hidden" r:id="rId9"/>
  </sheets>
  <externalReferences>
    <externalReference r:id="rId10"/>
  </externalReferences>
  <definedNames>
    <definedName name="HGW" localSheetId="6">'[1]W &amp; B'!$I$42</definedName>
    <definedName name="HGW">'W &amp; B'!$I$44</definedName>
    <definedName name="HGWCG">'W &amp; B'!$I$45</definedName>
    <definedName name="HGWCGMAX">'W &amp; B'!$I$45</definedName>
    <definedName name="HGWMAXCG">'W &amp; B'!$I$45</definedName>
    <definedName name="MAXCG">'W &amp; B'!$I$45</definedName>
    <definedName name="PA">'W &amp; B'!$I$7</definedName>
    <definedName name="_xlnm.Print_Area" localSheetId="2">'TH-57C'!$A$1:$K$46</definedName>
    <definedName name="_xlnm.Print_Area" localSheetId="0">'W &amp; B'!$A$1:$W$115</definedName>
    <definedName name="TEMP" localSheetId="6">'[1]W &amp; B'!$I$4</definedName>
    <definedName name="TEMP">'W &amp; B'!$I$6</definedName>
    <definedName name="x" localSheetId="6">'[1]W &amp; B'!$I$6</definedName>
    <definedName name="x">'W &amp; B'!$I$8</definedName>
  </definedNames>
  <calcPr calcId="162913"/>
</workbook>
</file>

<file path=xl/calcChain.xml><?xml version="1.0" encoding="utf-8"?>
<calcChain xmlns="http://schemas.openxmlformats.org/spreadsheetml/2006/main">
  <c r="H1" i="8" l="1"/>
  <c r="A61" i="1" l="1"/>
  <c r="E3" i="9" l="1"/>
  <c r="D3" i="9"/>
  <c r="C3" i="9"/>
  <c r="B3" i="9"/>
  <c r="A3" i="9"/>
  <c r="V4" i="3" l="1"/>
  <c r="V65" i="3"/>
  <c r="C115" i="3" l="1"/>
  <c r="C74" i="3"/>
  <c r="C73" i="3"/>
  <c r="C114" i="3"/>
  <c r="C113" i="3"/>
  <c r="C112" i="3"/>
  <c r="C111" i="3"/>
  <c r="C96" i="3"/>
  <c r="C76" i="3"/>
  <c r="C42" i="3"/>
  <c r="C7" i="3"/>
  <c r="C72" i="3"/>
  <c r="C15" i="3"/>
  <c r="C101" i="3"/>
  <c r="C110" i="3"/>
  <c r="C108" i="3"/>
  <c r="C75" i="3"/>
  <c r="C56" i="3"/>
  <c r="C16" i="3"/>
  <c r="C43" i="3"/>
  <c r="C28" i="3"/>
  <c r="C82" i="3"/>
  <c r="C95" i="3"/>
  <c r="C103" i="3"/>
  <c r="C13" i="3"/>
  <c r="C91" i="3"/>
  <c r="C10" i="3"/>
  <c r="C31" i="3"/>
  <c r="C78" i="3"/>
  <c r="C50" i="3"/>
  <c r="C46" i="3"/>
  <c r="C88" i="3"/>
  <c r="C24" i="3"/>
  <c r="C52" i="3"/>
  <c r="C63" i="3"/>
  <c r="C84" i="3"/>
  <c r="C40" i="3"/>
  <c r="C27" i="3"/>
  <c r="C3" i="3"/>
  <c r="C90" i="3"/>
  <c r="C48" i="3"/>
  <c r="C100" i="3"/>
  <c r="G3" i="3"/>
  <c r="C17" i="3"/>
  <c r="C35" i="3"/>
  <c r="C37" i="3"/>
  <c r="C61" i="3"/>
  <c r="C11" i="3"/>
  <c r="C34" i="3"/>
  <c r="C49" i="3"/>
  <c r="C39" i="3"/>
  <c r="C29" i="3"/>
  <c r="C47" i="3"/>
  <c r="C55" i="3"/>
  <c r="C79" i="3"/>
  <c r="C22" i="3"/>
  <c r="C59" i="3"/>
  <c r="C70" i="3"/>
  <c r="C53" i="3"/>
  <c r="C58" i="3"/>
  <c r="C18" i="3"/>
  <c r="C93" i="3"/>
  <c r="C62" i="3"/>
  <c r="C33" i="3"/>
  <c r="C57" i="3"/>
  <c r="C65" i="3"/>
  <c r="C81" i="3"/>
  <c r="C26" i="3"/>
  <c r="C19" i="3"/>
  <c r="C83" i="3"/>
  <c r="C54" i="3"/>
  <c r="C9" i="3"/>
  <c r="C85" i="3"/>
  <c r="C89" i="3"/>
  <c r="C51" i="3"/>
  <c r="C44" i="3"/>
  <c r="C30" i="3"/>
  <c r="C104" i="3"/>
  <c r="C5" i="3"/>
  <c r="C105" i="3"/>
  <c r="C4" i="3"/>
  <c r="C102" i="3"/>
  <c r="C80" i="3"/>
  <c r="C6" i="3"/>
  <c r="C106" i="3"/>
  <c r="C107" i="3"/>
  <c r="C32" i="3"/>
  <c r="C66" i="3"/>
  <c r="C109" i="3"/>
  <c r="C60" i="3"/>
  <c r="C21" i="3"/>
  <c r="C64" i="3"/>
  <c r="C71" i="3"/>
  <c r="C25" i="3"/>
  <c r="C69" i="3"/>
  <c r="C38" i="3"/>
  <c r="C14" i="3"/>
  <c r="C68" i="3"/>
  <c r="C20" i="3"/>
  <c r="C99" i="3"/>
  <c r="C41" i="3"/>
  <c r="C86" i="3"/>
  <c r="C92" i="3"/>
  <c r="C67" i="3"/>
  <c r="C45" i="3"/>
  <c r="C98" i="3"/>
  <c r="C97" i="3"/>
  <c r="C94" i="3"/>
  <c r="C12" i="3"/>
  <c r="C36" i="3"/>
  <c r="C87" i="3"/>
  <c r="C8" i="3"/>
  <c r="C77" i="3"/>
  <c r="C23" i="3"/>
  <c r="F2" i="8" l="1"/>
  <c r="F1" i="8"/>
  <c r="F2" i="9"/>
  <c r="F1" i="9"/>
  <c r="G1" i="9"/>
  <c r="L75" i="3"/>
  <c r="E43" i="9" l="1"/>
  <c r="D43" i="9"/>
  <c r="C43" i="9"/>
  <c r="B43" i="9"/>
  <c r="A43" i="9"/>
  <c r="E42" i="9"/>
  <c r="D42" i="9"/>
  <c r="C42" i="9"/>
  <c r="B42" i="9"/>
  <c r="A42" i="9"/>
  <c r="E41" i="9"/>
  <c r="D41" i="9"/>
  <c r="C41" i="9"/>
  <c r="B41" i="9"/>
  <c r="A41" i="9"/>
  <c r="E40" i="9"/>
  <c r="D40" i="9"/>
  <c r="C40" i="9"/>
  <c r="B40" i="9"/>
  <c r="A40" i="9"/>
  <c r="E39" i="9"/>
  <c r="D39" i="9"/>
  <c r="C39" i="9"/>
  <c r="B39" i="9"/>
  <c r="A39" i="9"/>
  <c r="E38" i="9"/>
  <c r="D38" i="9"/>
  <c r="C38" i="9"/>
  <c r="B38" i="9"/>
  <c r="A38" i="9"/>
  <c r="E37" i="9"/>
  <c r="D37" i="9"/>
  <c r="C37" i="9"/>
  <c r="B37" i="9"/>
  <c r="A37" i="9"/>
  <c r="E36" i="9"/>
  <c r="D36" i="9"/>
  <c r="C36" i="9"/>
  <c r="B36" i="9"/>
  <c r="A36" i="9"/>
  <c r="E35" i="9"/>
  <c r="D35" i="9"/>
  <c r="C35" i="9"/>
  <c r="B35" i="9"/>
  <c r="A35" i="9"/>
  <c r="E34" i="9"/>
  <c r="D34" i="9"/>
  <c r="C34" i="9"/>
  <c r="B34" i="9"/>
  <c r="A34" i="9"/>
  <c r="E33" i="9"/>
  <c r="D33" i="9"/>
  <c r="C33" i="9"/>
  <c r="B33" i="9"/>
  <c r="A33" i="9"/>
  <c r="E32" i="9"/>
  <c r="D32" i="9"/>
  <c r="C32" i="9"/>
  <c r="B32" i="9"/>
  <c r="A32" i="9"/>
  <c r="E31" i="9"/>
  <c r="D31" i="9"/>
  <c r="C31" i="9"/>
  <c r="B31" i="9"/>
  <c r="A31" i="9"/>
  <c r="E30" i="9"/>
  <c r="D30" i="9"/>
  <c r="C30" i="9"/>
  <c r="B30" i="9"/>
  <c r="A30" i="9"/>
  <c r="E29" i="9"/>
  <c r="D29" i="9"/>
  <c r="C29" i="9"/>
  <c r="B29" i="9"/>
  <c r="A29" i="9"/>
  <c r="E28" i="9"/>
  <c r="D28" i="9"/>
  <c r="C28" i="9"/>
  <c r="B28" i="9"/>
  <c r="A28" i="9"/>
  <c r="E27" i="9"/>
  <c r="D27" i="9"/>
  <c r="C27" i="9"/>
  <c r="B27" i="9"/>
  <c r="A27" i="9"/>
  <c r="E26" i="9"/>
  <c r="D26" i="9"/>
  <c r="C26" i="9"/>
  <c r="B26" i="9"/>
  <c r="A26" i="9"/>
  <c r="E25" i="9"/>
  <c r="D25" i="9"/>
  <c r="C25" i="9"/>
  <c r="B25" i="9"/>
  <c r="A25" i="9"/>
  <c r="E24" i="9"/>
  <c r="D24" i="9"/>
  <c r="C24" i="9"/>
  <c r="B24" i="9"/>
  <c r="A24" i="9"/>
  <c r="E23" i="9"/>
  <c r="D23" i="9"/>
  <c r="C23" i="9"/>
  <c r="B23" i="9"/>
  <c r="A23" i="9"/>
  <c r="E22" i="9"/>
  <c r="D22" i="9"/>
  <c r="C22" i="9"/>
  <c r="B22" i="9"/>
  <c r="A22" i="9"/>
  <c r="E21" i="9"/>
  <c r="D21" i="9"/>
  <c r="C21" i="9"/>
  <c r="B21" i="9"/>
  <c r="A21" i="9"/>
  <c r="E20" i="9"/>
  <c r="D20" i="9"/>
  <c r="C20" i="9"/>
  <c r="B20" i="9"/>
  <c r="A20" i="9"/>
  <c r="E19" i="9"/>
  <c r="D19" i="9"/>
  <c r="C19" i="9"/>
  <c r="B19" i="9"/>
  <c r="A19" i="9"/>
  <c r="E18" i="9"/>
  <c r="D18" i="9"/>
  <c r="C18" i="9"/>
  <c r="B18" i="9"/>
  <c r="A18" i="9"/>
  <c r="E17" i="9"/>
  <c r="D17" i="9"/>
  <c r="C17" i="9"/>
  <c r="B17" i="9"/>
  <c r="A17" i="9"/>
  <c r="E16" i="9"/>
  <c r="D16" i="9"/>
  <c r="C16" i="9"/>
  <c r="B16" i="9"/>
  <c r="A16" i="9"/>
  <c r="E15" i="9"/>
  <c r="D15" i="9"/>
  <c r="C15" i="9"/>
  <c r="B15" i="9"/>
  <c r="A15" i="9"/>
  <c r="E14" i="9"/>
  <c r="D14" i="9"/>
  <c r="C14" i="9"/>
  <c r="B14" i="9"/>
  <c r="A14" i="9"/>
  <c r="E13" i="9"/>
  <c r="D13" i="9"/>
  <c r="C13" i="9"/>
  <c r="B13" i="9"/>
  <c r="A13" i="9"/>
  <c r="E12" i="9"/>
  <c r="D12" i="9"/>
  <c r="C12" i="9"/>
  <c r="B12" i="9"/>
  <c r="A12" i="9"/>
  <c r="E11" i="9"/>
  <c r="D11" i="9"/>
  <c r="C11" i="9"/>
  <c r="B11" i="9"/>
  <c r="A11" i="9"/>
  <c r="E10" i="9"/>
  <c r="D10" i="9"/>
  <c r="C10" i="9"/>
  <c r="B10" i="9"/>
  <c r="A10" i="9"/>
  <c r="E9" i="9"/>
  <c r="D9" i="9"/>
  <c r="C9" i="9"/>
  <c r="B9" i="9"/>
  <c r="A9" i="9"/>
  <c r="E8" i="9"/>
  <c r="D8" i="9"/>
  <c r="C8" i="9"/>
  <c r="B8" i="9"/>
  <c r="A8" i="9"/>
  <c r="E7" i="9"/>
  <c r="D7" i="9"/>
  <c r="C7" i="9"/>
  <c r="B7" i="9"/>
  <c r="A7" i="9"/>
  <c r="E6" i="9"/>
  <c r="D6" i="9"/>
  <c r="C6" i="9"/>
  <c r="B6" i="9"/>
  <c r="A6" i="9"/>
  <c r="E5" i="9"/>
  <c r="D5" i="9"/>
  <c r="C5" i="9"/>
  <c r="B5" i="9"/>
  <c r="A5" i="9"/>
  <c r="K32" i="8"/>
  <c r="J32" i="8"/>
  <c r="I32" i="8"/>
  <c r="H32" i="8"/>
  <c r="G32" i="8"/>
  <c r="K31" i="8"/>
  <c r="J31" i="8"/>
  <c r="I31" i="8"/>
  <c r="H31" i="8"/>
  <c r="G31" i="8"/>
  <c r="K30" i="8"/>
  <c r="J30" i="8"/>
  <c r="I30" i="8"/>
  <c r="H30" i="8"/>
  <c r="G30" i="8"/>
  <c r="K29" i="8"/>
  <c r="J29" i="8"/>
  <c r="I29" i="8"/>
  <c r="H29" i="8"/>
  <c r="G29" i="8"/>
  <c r="K28" i="8"/>
  <c r="J28" i="8"/>
  <c r="I28" i="8"/>
  <c r="H28" i="8"/>
  <c r="G28" i="8"/>
  <c r="K27" i="8"/>
  <c r="J27" i="8"/>
  <c r="I27" i="8"/>
  <c r="H27" i="8"/>
  <c r="G27" i="8"/>
  <c r="K26" i="8"/>
  <c r="J26" i="8"/>
  <c r="I26" i="8"/>
  <c r="H26" i="8"/>
  <c r="G26" i="8"/>
  <c r="K25" i="8"/>
  <c r="J25" i="8"/>
  <c r="I25" i="8"/>
  <c r="H25" i="8"/>
  <c r="G25" i="8"/>
  <c r="K24" i="8"/>
  <c r="J24" i="8"/>
  <c r="I24" i="8"/>
  <c r="H24" i="8"/>
  <c r="G24" i="8"/>
  <c r="K23" i="8"/>
  <c r="J23" i="8"/>
  <c r="I23" i="8"/>
  <c r="H23" i="8"/>
  <c r="G23" i="8"/>
  <c r="K22" i="8"/>
  <c r="J22" i="8"/>
  <c r="I22" i="8"/>
  <c r="H22" i="8"/>
  <c r="G22" i="8"/>
  <c r="K21" i="8"/>
  <c r="J21" i="8"/>
  <c r="I21" i="8"/>
  <c r="H21" i="8"/>
  <c r="G21" i="8"/>
  <c r="K20" i="8"/>
  <c r="J20" i="8"/>
  <c r="I20" i="8"/>
  <c r="H20" i="8"/>
  <c r="G20" i="8"/>
  <c r="K19" i="8"/>
  <c r="J19" i="8"/>
  <c r="I19" i="8"/>
  <c r="H19" i="8"/>
  <c r="G19" i="8"/>
  <c r="K18" i="8"/>
  <c r="J18" i="8"/>
  <c r="I18" i="8"/>
  <c r="H18" i="8"/>
  <c r="G18" i="8"/>
  <c r="K17" i="8"/>
  <c r="J17" i="8"/>
  <c r="I17" i="8"/>
  <c r="H17" i="8"/>
  <c r="G17" i="8"/>
  <c r="K16" i="8"/>
  <c r="J16" i="8"/>
  <c r="I16" i="8"/>
  <c r="H16" i="8"/>
  <c r="G16" i="8"/>
  <c r="K15" i="8"/>
  <c r="J15" i="8"/>
  <c r="I15" i="8"/>
  <c r="H15" i="8"/>
  <c r="G15" i="8"/>
  <c r="K14" i="8"/>
  <c r="J14" i="8"/>
  <c r="I14" i="8"/>
  <c r="H14" i="8"/>
  <c r="G14" i="8"/>
  <c r="K13" i="8"/>
  <c r="J13" i="8"/>
  <c r="I13" i="8"/>
  <c r="H13" i="8"/>
  <c r="G13" i="8"/>
  <c r="K12" i="8"/>
  <c r="J12" i="8"/>
  <c r="I12" i="8"/>
  <c r="H12" i="8"/>
  <c r="G12" i="8"/>
  <c r="K11" i="8"/>
  <c r="J11" i="8"/>
  <c r="I11" i="8"/>
  <c r="H11" i="8"/>
  <c r="G11" i="8"/>
  <c r="K10" i="8"/>
  <c r="J10" i="8"/>
  <c r="I10" i="8"/>
  <c r="H10" i="8"/>
  <c r="G10" i="8"/>
  <c r="K9" i="8"/>
  <c r="J9" i="8"/>
  <c r="I9" i="8"/>
  <c r="H9" i="8"/>
  <c r="G9" i="8"/>
  <c r="K8" i="8"/>
  <c r="J8" i="8"/>
  <c r="I8" i="8"/>
  <c r="H8" i="8"/>
  <c r="G8" i="8"/>
  <c r="K7" i="8"/>
  <c r="J7" i="8"/>
  <c r="I7" i="8"/>
  <c r="H7" i="8"/>
  <c r="G7" i="8"/>
  <c r="E46" i="8"/>
  <c r="D46" i="8"/>
  <c r="C46" i="8"/>
  <c r="B46" i="8"/>
  <c r="A46" i="8"/>
  <c r="E45" i="8"/>
  <c r="D45" i="8"/>
  <c r="C45" i="8"/>
  <c r="B45" i="8"/>
  <c r="A45" i="8"/>
  <c r="E44" i="8"/>
  <c r="D44" i="8"/>
  <c r="C44" i="8"/>
  <c r="B44" i="8"/>
  <c r="A44" i="8"/>
  <c r="E43" i="8"/>
  <c r="D43" i="8"/>
  <c r="C43" i="8"/>
  <c r="B43" i="8"/>
  <c r="A43" i="8"/>
  <c r="E42" i="8"/>
  <c r="D42" i="8"/>
  <c r="C42" i="8"/>
  <c r="B42" i="8"/>
  <c r="A42" i="8"/>
  <c r="E41" i="8"/>
  <c r="D41" i="8"/>
  <c r="C41" i="8"/>
  <c r="B41" i="8"/>
  <c r="A41" i="8"/>
  <c r="E40" i="8"/>
  <c r="D40" i="8"/>
  <c r="C40" i="8"/>
  <c r="B40" i="8"/>
  <c r="A40" i="8"/>
  <c r="E39" i="8"/>
  <c r="D39" i="8"/>
  <c r="C39" i="8"/>
  <c r="B39" i="8"/>
  <c r="A39" i="8"/>
  <c r="E38" i="8"/>
  <c r="D38" i="8"/>
  <c r="C38" i="8"/>
  <c r="B38" i="8"/>
  <c r="A38" i="8"/>
  <c r="E37" i="8"/>
  <c r="D37" i="8"/>
  <c r="C37" i="8"/>
  <c r="B37" i="8"/>
  <c r="A37" i="8"/>
  <c r="E36" i="8"/>
  <c r="D36" i="8"/>
  <c r="C36" i="8"/>
  <c r="B36" i="8"/>
  <c r="A36" i="8"/>
  <c r="E35" i="8"/>
  <c r="D35" i="8"/>
  <c r="C35" i="8"/>
  <c r="B35" i="8"/>
  <c r="A35" i="8"/>
  <c r="E34" i="8"/>
  <c r="D34" i="8"/>
  <c r="C34" i="8"/>
  <c r="B34" i="8"/>
  <c r="A34" i="8"/>
  <c r="E33" i="8"/>
  <c r="D33" i="8"/>
  <c r="C33" i="8"/>
  <c r="B33" i="8"/>
  <c r="A33" i="8"/>
  <c r="E32" i="8"/>
  <c r="D32" i="8"/>
  <c r="C32" i="8"/>
  <c r="B32" i="8"/>
  <c r="A32" i="8"/>
  <c r="E31" i="8"/>
  <c r="D31" i="8"/>
  <c r="C31" i="8"/>
  <c r="B31" i="8"/>
  <c r="A31" i="8"/>
  <c r="E30" i="8"/>
  <c r="D30" i="8"/>
  <c r="C30" i="8"/>
  <c r="B30" i="8"/>
  <c r="A30" i="8"/>
  <c r="E29" i="8"/>
  <c r="D29" i="8"/>
  <c r="C29" i="8"/>
  <c r="B29" i="8"/>
  <c r="A29" i="8"/>
  <c r="E28" i="8"/>
  <c r="D28" i="8"/>
  <c r="C28" i="8"/>
  <c r="B28" i="8"/>
  <c r="A28" i="8"/>
  <c r="E27" i="8"/>
  <c r="D27" i="8"/>
  <c r="C27" i="8"/>
  <c r="B27" i="8"/>
  <c r="A27" i="8"/>
  <c r="E26" i="8"/>
  <c r="D26" i="8"/>
  <c r="C26" i="8"/>
  <c r="B26" i="8"/>
  <c r="A26" i="8"/>
  <c r="E25" i="8"/>
  <c r="D25" i="8"/>
  <c r="C25" i="8"/>
  <c r="B25" i="8"/>
  <c r="A25" i="8"/>
  <c r="E24" i="8"/>
  <c r="D24" i="8"/>
  <c r="C24" i="8"/>
  <c r="B24" i="8"/>
  <c r="A24" i="8"/>
  <c r="E23" i="8"/>
  <c r="D23" i="8"/>
  <c r="C23" i="8"/>
  <c r="B23" i="8"/>
  <c r="A23" i="8"/>
  <c r="E22" i="8"/>
  <c r="D22" i="8"/>
  <c r="C22" i="8"/>
  <c r="B22" i="8"/>
  <c r="A22" i="8"/>
  <c r="E21" i="8"/>
  <c r="D21" i="8"/>
  <c r="C21" i="8"/>
  <c r="B21" i="8"/>
  <c r="A21" i="8"/>
  <c r="E20" i="8"/>
  <c r="D20" i="8"/>
  <c r="C20" i="8"/>
  <c r="B20" i="8"/>
  <c r="A20" i="8"/>
  <c r="E19" i="8"/>
  <c r="D19" i="8"/>
  <c r="C19" i="8"/>
  <c r="B19" i="8"/>
  <c r="A19" i="8"/>
  <c r="E18" i="8"/>
  <c r="D18" i="8"/>
  <c r="C18" i="8"/>
  <c r="B18" i="8"/>
  <c r="A18" i="8"/>
  <c r="E17" i="8"/>
  <c r="D17" i="8"/>
  <c r="C17" i="8"/>
  <c r="B17" i="8"/>
  <c r="A17" i="8"/>
  <c r="E16" i="8"/>
  <c r="D16" i="8"/>
  <c r="C16" i="8"/>
  <c r="B16" i="8"/>
  <c r="A16" i="8"/>
  <c r="E15" i="8"/>
  <c r="D15" i="8"/>
  <c r="C15" i="8"/>
  <c r="B15" i="8"/>
  <c r="A15" i="8"/>
  <c r="E14" i="8"/>
  <c r="D14" i="8"/>
  <c r="C14" i="8"/>
  <c r="B14" i="8"/>
  <c r="A14" i="8"/>
  <c r="E13" i="8"/>
  <c r="D13" i="8"/>
  <c r="C13" i="8"/>
  <c r="B13" i="8"/>
  <c r="A13" i="8"/>
  <c r="E12" i="8"/>
  <c r="D12" i="8"/>
  <c r="C12" i="8"/>
  <c r="B12" i="8"/>
  <c r="A12" i="8"/>
  <c r="E11" i="8"/>
  <c r="D11" i="8"/>
  <c r="C11" i="8"/>
  <c r="B11" i="8"/>
  <c r="A11" i="8"/>
  <c r="E10" i="8"/>
  <c r="D10" i="8"/>
  <c r="C10" i="8"/>
  <c r="B10" i="8"/>
  <c r="A10" i="8"/>
  <c r="E9" i="8"/>
  <c r="D9" i="8"/>
  <c r="C9" i="8"/>
  <c r="B9" i="8"/>
  <c r="A9" i="8"/>
  <c r="E8" i="8"/>
  <c r="D8" i="8"/>
  <c r="C8" i="8"/>
  <c r="B8" i="8"/>
  <c r="A8" i="8"/>
  <c r="E7" i="8"/>
  <c r="D7" i="8"/>
  <c r="C7" i="8"/>
  <c r="B7" i="8"/>
  <c r="A7" i="8"/>
  <c r="E6" i="8"/>
  <c r="D6" i="8"/>
  <c r="C6" i="8"/>
  <c r="B6" i="8"/>
  <c r="A6" i="8"/>
  <c r="E5" i="8"/>
  <c r="D5" i="8"/>
  <c r="C5" i="8"/>
  <c r="B5" i="8"/>
  <c r="A5" i="8"/>
  <c r="E4" i="8"/>
  <c r="D4" i="8"/>
  <c r="C4" i="8"/>
  <c r="B4" i="8"/>
  <c r="A4" i="8"/>
  <c r="E3" i="8"/>
  <c r="D3" i="8"/>
  <c r="C3" i="8"/>
  <c r="B3" i="8"/>
  <c r="A3" i="8"/>
  <c r="F48" i="1" l="1"/>
  <c r="F45" i="1"/>
  <c r="G90" i="1" l="1"/>
  <c r="G87" i="1"/>
  <c r="G84" i="1"/>
  <c r="C116" i="3" l="1"/>
  <c r="W111" i="3" s="1"/>
  <c r="V110" i="3"/>
  <c r="V109" i="3"/>
  <c r="V108" i="3"/>
  <c r="V107" i="3"/>
  <c r="V106" i="3"/>
  <c r="V105" i="3"/>
  <c r="V104" i="3"/>
  <c r="V103" i="3"/>
  <c r="V102" i="3"/>
  <c r="V101" i="3"/>
  <c r="V100" i="3"/>
  <c r="V99" i="3"/>
  <c r="V98" i="3"/>
  <c r="V97" i="3"/>
  <c r="V96" i="3"/>
  <c r="V95" i="3"/>
  <c r="V94" i="3"/>
  <c r="V93" i="3"/>
  <c r="V92" i="3"/>
  <c r="V91" i="3"/>
  <c r="V90" i="3"/>
  <c r="V89" i="3"/>
  <c r="V88" i="3"/>
  <c r="V87" i="3"/>
  <c r="V86" i="3"/>
  <c r="V85" i="3"/>
  <c r="V84" i="3"/>
  <c r="V83" i="3"/>
  <c r="V82" i="3"/>
  <c r="V81" i="3"/>
  <c r="V80" i="3"/>
  <c r="V79" i="3"/>
  <c r="V78" i="3"/>
  <c r="V77" i="3"/>
  <c r="V76" i="3"/>
  <c r="V75" i="3"/>
  <c r="V74" i="3"/>
  <c r="V73" i="3"/>
  <c r="V72" i="3"/>
  <c r="V71" i="3"/>
  <c r="V70" i="3"/>
  <c r="V69" i="3"/>
  <c r="V68" i="3"/>
  <c r="V67" i="3"/>
  <c r="V66" i="3"/>
  <c r="V64" i="3"/>
  <c r="V63" i="3"/>
  <c r="V62" i="3"/>
  <c r="V61" i="3"/>
  <c r="V60" i="3"/>
  <c r="V59" i="3"/>
  <c r="V58" i="3"/>
  <c r="V57" i="3"/>
  <c r="V56" i="3"/>
  <c r="V55" i="3"/>
  <c r="V54" i="3"/>
  <c r="V53" i="3"/>
  <c r="V52" i="3"/>
  <c r="V51" i="3"/>
  <c r="V50" i="3"/>
  <c r="V49" i="3"/>
  <c r="V48" i="3"/>
  <c r="V47" i="3"/>
  <c r="V46" i="3"/>
  <c r="V45" i="3"/>
  <c r="V44" i="3"/>
  <c r="V43" i="3"/>
  <c r="V42" i="3"/>
  <c r="V41" i="3"/>
  <c r="V40" i="3"/>
  <c r="V39" i="3"/>
  <c r="V38" i="3"/>
  <c r="V37" i="3"/>
  <c r="V36" i="3"/>
  <c r="V35" i="3"/>
  <c r="V34" i="3"/>
  <c r="V33" i="3"/>
  <c r="V32" i="3"/>
  <c r="V31" i="3"/>
  <c r="V30" i="3"/>
  <c r="V29" i="3"/>
  <c r="V28" i="3"/>
  <c r="V27" i="3"/>
  <c r="V26" i="3"/>
  <c r="V25" i="3"/>
  <c r="V24" i="3"/>
  <c r="V23" i="3"/>
  <c r="V22" i="3"/>
  <c r="V21" i="3"/>
  <c r="V20" i="3"/>
  <c r="V19" i="3"/>
  <c r="V18" i="3"/>
  <c r="V17" i="3"/>
  <c r="V16" i="3"/>
  <c r="V15" i="3"/>
  <c r="V14" i="3"/>
  <c r="V13" i="3"/>
  <c r="V12" i="3"/>
  <c r="V11" i="3"/>
  <c r="V10" i="3"/>
  <c r="V9" i="3"/>
  <c r="V8" i="3"/>
  <c r="V7" i="3"/>
  <c r="V6" i="3"/>
  <c r="V5" i="3"/>
  <c r="F9" i="3" l="1"/>
  <c r="D9" i="3"/>
  <c r="E9" i="3"/>
  <c r="F21" i="3"/>
  <c r="D21" i="3"/>
  <c r="E21" i="3"/>
  <c r="F33" i="3"/>
  <c r="D33" i="3"/>
  <c r="E33" i="3"/>
  <c r="F37" i="3"/>
  <c r="D37" i="3"/>
  <c r="E37" i="3"/>
  <c r="F45" i="3"/>
  <c r="D45" i="3"/>
  <c r="E45" i="3"/>
  <c r="F53" i="3"/>
  <c r="D53" i="3"/>
  <c r="E53" i="3"/>
  <c r="F57" i="3"/>
  <c r="D57" i="3"/>
  <c r="E57" i="3"/>
  <c r="F61" i="3"/>
  <c r="D61" i="3"/>
  <c r="E61" i="3"/>
  <c r="F65" i="3"/>
  <c r="D65" i="3"/>
  <c r="E65" i="3"/>
  <c r="F69" i="3"/>
  <c r="E69" i="3"/>
  <c r="D69" i="3"/>
  <c r="F73" i="3"/>
  <c r="E73" i="3"/>
  <c r="D73" i="3"/>
  <c r="F78" i="3"/>
  <c r="E78" i="3"/>
  <c r="D78" i="3"/>
  <c r="F82" i="3"/>
  <c r="E82" i="3"/>
  <c r="D82" i="3"/>
  <c r="F86" i="3"/>
  <c r="E86" i="3"/>
  <c r="D86" i="3"/>
  <c r="F90" i="3"/>
  <c r="E90" i="3"/>
  <c r="D90" i="3"/>
  <c r="F94" i="3"/>
  <c r="E94" i="3"/>
  <c r="D94" i="3"/>
  <c r="F98" i="3"/>
  <c r="E98" i="3"/>
  <c r="D98" i="3"/>
  <c r="F102" i="3"/>
  <c r="E102" i="3"/>
  <c r="D102" i="3"/>
  <c r="F106" i="3"/>
  <c r="E106" i="3"/>
  <c r="D106" i="3"/>
  <c r="F110" i="3"/>
  <c r="E110" i="3"/>
  <c r="D110" i="3"/>
  <c r="F114" i="3"/>
  <c r="E114" i="3"/>
  <c r="D114" i="3"/>
  <c r="D116" i="3"/>
  <c r="F116" i="3"/>
  <c r="E116" i="3"/>
  <c r="E6" i="3"/>
  <c r="D6" i="3"/>
  <c r="F6" i="3"/>
  <c r="E10" i="3"/>
  <c r="F10" i="3"/>
  <c r="D10" i="3"/>
  <c r="E14" i="3"/>
  <c r="D14" i="3"/>
  <c r="F14" i="3"/>
  <c r="E18" i="3"/>
  <c r="F18" i="3"/>
  <c r="D18" i="3"/>
  <c r="E22" i="3"/>
  <c r="D22" i="3"/>
  <c r="F22" i="3"/>
  <c r="E26" i="3"/>
  <c r="F26" i="3"/>
  <c r="D26" i="3"/>
  <c r="E30" i="3"/>
  <c r="D30" i="3"/>
  <c r="F30" i="3"/>
  <c r="E34" i="3"/>
  <c r="F34" i="3"/>
  <c r="D34" i="3"/>
  <c r="E38" i="3"/>
  <c r="D38" i="3"/>
  <c r="F38" i="3"/>
  <c r="E42" i="3"/>
  <c r="F42" i="3"/>
  <c r="D42" i="3"/>
  <c r="E46" i="3"/>
  <c r="D46" i="3"/>
  <c r="F46" i="3"/>
  <c r="E50" i="3"/>
  <c r="F50" i="3"/>
  <c r="D50" i="3"/>
  <c r="E54" i="3"/>
  <c r="D54" i="3"/>
  <c r="F54" i="3"/>
  <c r="E58" i="3"/>
  <c r="F58" i="3"/>
  <c r="D58" i="3"/>
  <c r="E62" i="3"/>
  <c r="D62" i="3"/>
  <c r="F62" i="3"/>
  <c r="E66" i="3"/>
  <c r="F66" i="3"/>
  <c r="D66" i="3"/>
  <c r="F70" i="3"/>
  <c r="E70" i="3"/>
  <c r="D70" i="3"/>
  <c r="F79" i="3"/>
  <c r="E79" i="3"/>
  <c r="D79" i="3"/>
  <c r="F83" i="3"/>
  <c r="E83" i="3"/>
  <c r="D83" i="3"/>
  <c r="F87" i="3"/>
  <c r="E87" i="3"/>
  <c r="D87" i="3"/>
  <c r="F91" i="3"/>
  <c r="E91" i="3"/>
  <c r="D91" i="3"/>
  <c r="F95" i="3"/>
  <c r="E95" i="3"/>
  <c r="D95" i="3"/>
  <c r="F99" i="3"/>
  <c r="E99" i="3"/>
  <c r="D99" i="3"/>
  <c r="F103" i="3"/>
  <c r="E103" i="3"/>
  <c r="D103" i="3"/>
  <c r="F107" i="3"/>
  <c r="E107" i="3"/>
  <c r="D107" i="3"/>
  <c r="F111" i="3"/>
  <c r="E111" i="3"/>
  <c r="D111" i="3"/>
  <c r="F115" i="3"/>
  <c r="E115" i="3"/>
  <c r="D115" i="3"/>
  <c r="D75" i="3"/>
  <c r="F5" i="3"/>
  <c r="D5" i="3"/>
  <c r="E5" i="3"/>
  <c r="F13" i="3"/>
  <c r="D13" i="3"/>
  <c r="E13" i="3"/>
  <c r="F25" i="3"/>
  <c r="D25" i="3"/>
  <c r="E25" i="3"/>
  <c r="F49" i="3"/>
  <c r="D49" i="3"/>
  <c r="E49" i="3"/>
  <c r="F3" i="3"/>
  <c r="E3" i="3"/>
  <c r="D3" i="3"/>
  <c r="D7" i="3"/>
  <c r="F7" i="3"/>
  <c r="E7" i="3"/>
  <c r="D11" i="3"/>
  <c r="F11" i="3"/>
  <c r="E11" i="3"/>
  <c r="D15" i="3"/>
  <c r="F15" i="3"/>
  <c r="E15" i="3"/>
  <c r="D19" i="3"/>
  <c r="F19" i="3"/>
  <c r="E19" i="3"/>
  <c r="D23" i="3"/>
  <c r="F23" i="3"/>
  <c r="E23" i="3"/>
  <c r="D27" i="3"/>
  <c r="F27" i="3"/>
  <c r="E27" i="3"/>
  <c r="D31" i="3"/>
  <c r="F31" i="3"/>
  <c r="E31" i="3"/>
  <c r="D35" i="3"/>
  <c r="F35" i="3"/>
  <c r="E35" i="3"/>
  <c r="D39" i="3"/>
  <c r="F39" i="3"/>
  <c r="E39" i="3"/>
  <c r="D43" i="3"/>
  <c r="F43" i="3"/>
  <c r="E43" i="3"/>
  <c r="D47" i="3"/>
  <c r="F47" i="3"/>
  <c r="E47" i="3"/>
  <c r="D51" i="3"/>
  <c r="F51" i="3"/>
  <c r="E51" i="3"/>
  <c r="D55" i="3"/>
  <c r="F55" i="3"/>
  <c r="E55" i="3"/>
  <c r="D59" i="3"/>
  <c r="F59" i="3"/>
  <c r="E59" i="3"/>
  <c r="D63" i="3"/>
  <c r="F63" i="3"/>
  <c r="E63" i="3"/>
  <c r="D67" i="3"/>
  <c r="F67" i="3"/>
  <c r="E67" i="3"/>
  <c r="D71" i="3"/>
  <c r="F71" i="3"/>
  <c r="E71" i="3"/>
  <c r="D76" i="3"/>
  <c r="F76" i="3"/>
  <c r="E76" i="3"/>
  <c r="D80" i="3"/>
  <c r="F80" i="3"/>
  <c r="E80" i="3"/>
  <c r="D84" i="3"/>
  <c r="F84" i="3"/>
  <c r="E84" i="3"/>
  <c r="D88" i="3"/>
  <c r="F88" i="3"/>
  <c r="E88" i="3"/>
  <c r="D92" i="3"/>
  <c r="F92" i="3"/>
  <c r="E92" i="3"/>
  <c r="D96" i="3"/>
  <c r="F96" i="3"/>
  <c r="E96" i="3"/>
  <c r="D100" i="3"/>
  <c r="F100" i="3"/>
  <c r="E100" i="3"/>
  <c r="D104" i="3"/>
  <c r="F104" i="3"/>
  <c r="E104" i="3"/>
  <c r="D108" i="3"/>
  <c r="F108" i="3"/>
  <c r="E108" i="3"/>
  <c r="D112" i="3"/>
  <c r="F112" i="3"/>
  <c r="E112" i="3"/>
  <c r="E75" i="3"/>
  <c r="F17" i="3"/>
  <c r="D17" i="3"/>
  <c r="E17" i="3"/>
  <c r="F29" i="3"/>
  <c r="D29" i="3"/>
  <c r="E29" i="3"/>
  <c r="F41" i="3"/>
  <c r="D41" i="3"/>
  <c r="E41" i="3"/>
  <c r="D4" i="3"/>
  <c r="F4" i="3"/>
  <c r="E4" i="3"/>
  <c r="E8" i="3"/>
  <c r="F8" i="3"/>
  <c r="D8" i="3"/>
  <c r="E12" i="3"/>
  <c r="F12" i="3"/>
  <c r="D12" i="3"/>
  <c r="E16" i="3"/>
  <c r="F16" i="3"/>
  <c r="D16" i="3"/>
  <c r="E20" i="3"/>
  <c r="D20" i="3"/>
  <c r="F20" i="3"/>
  <c r="E24" i="3"/>
  <c r="F24" i="3"/>
  <c r="D24" i="3"/>
  <c r="E28" i="3"/>
  <c r="F28" i="3"/>
  <c r="D28" i="3"/>
  <c r="E32" i="3"/>
  <c r="F32" i="3"/>
  <c r="D32" i="3"/>
  <c r="E36" i="3"/>
  <c r="F36" i="3"/>
  <c r="D36" i="3"/>
  <c r="E40" i="3"/>
  <c r="F40" i="3"/>
  <c r="D40" i="3"/>
  <c r="E44" i="3"/>
  <c r="F44" i="3"/>
  <c r="D44" i="3"/>
  <c r="E48" i="3"/>
  <c r="F48" i="3"/>
  <c r="D48" i="3"/>
  <c r="E52" i="3"/>
  <c r="F52" i="3"/>
  <c r="D52" i="3"/>
  <c r="E56" i="3"/>
  <c r="F56" i="3"/>
  <c r="D56" i="3"/>
  <c r="E60" i="3"/>
  <c r="F60" i="3"/>
  <c r="D60" i="3"/>
  <c r="E64" i="3"/>
  <c r="F64" i="3"/>
  <c r="D64" i="3"/>
  <c r="E68" i="3"/>
  <c r="F68" i="3"/>
  <c r="D68" i="3"/>
  <c r="E72" i="3"/>
  <c r="D72" i="3"/>
  <c r="F72" i="3"/>
  <c r="E77" i="3"/>
  <c r="D77" i="3"/>
  <c r="F77" i="3"/>
  <c r="E81" i="3"/>
  <c r="D81" i="3"/>
  <c r="F81" i="3"/>
  <c r="E85" i="3"/>
  <c r="D85" i="3"/>
  <c r="F85" i="3"/>
  <c r="E89" i="3"/>
  <c r="D89" i="3"/>
  <c r="F89" i="3"/>
  <c r="E93" i="3"/>
  <c r="D93" i="3"/>
  <c r="F93" i="3"/>
  <c r="E97" i="3"/>
  <c r="D97" i="3"/>
  <c r="F97" i="3"/>
  <c r="E101" i="3"/>
  <c r="D101" i="3"/>
  <c r="F101" i="3"/>
  <c r="E105" i="3"/>
  <c r="D105" i="3"/>
  <c r="F105" i="3"/>
  <c r="E109" i="3"/>
  <c r="D109" i="3"/>
  <c r="F109" i="3"/>
  <c r="E113" i="3"/>
  <c r="D113" i="3"/>
  <c r="F113" i="3"/>
  <c r="F75" i="3"/>
  <c r="F29" i="1"/>
  <c r="B75" i="3" l="1"/>
  <c r="B113" i="3"/>
  <c r="B97" i="3"/>
  <c r="B81" i="3"/>
  <c r="B100" i="3"/>
  <c r="B84" i="3"/>
  <c r="B116" i="3"/>
  <c r="B78" i="3"/>
  <c r="B101" i="3"/>
  <c r="B85" i="3"/>
  <c r="B104" i="3"/>
  <c r="B88" i="3"/>
  <c r="B111" i="3"/>
  <c r="B95" i="3"/>
  <c r="B79" i="3"/>
  <c r="B114" i="3"/>
  <c r="B98" i="3"/>
  <c r="B82" i="3"/>
  <c r="B107" i="3"/>
  <c r="B91" i="3"/>
  <c r="B110" i="3"/>
  <c r="B94" i="3"/>
  <c r="B105" i="3"/>
  <c r="B89" i="3"/>
  <c r="B108" i="3"/>
  <c r="B92" i="3"/>
  <c r="B76" i="3"/>
  <c r="B115" i="3"/>
  <c r="W116" i="3" s="1"/>
  <c r="B99" i="3"/>
  <c r="B83" i="3"/>
  <c r="B102" i="3"/>
  <c r="B86" i="3"/>
  <c r="B109" i="3"/>
  <c r="W110" i="3" s="1"/>
  <c r="B93" i="3"/>
  <c r="W94" i="3" s="1"/>
  <c r="B77" i="3"/>
  <c r="B112" i="3"/>
  <c r="B96" i="3"/>
  <c r="B80" i="3"/>
  <c r="B103" i="3"/>
  <c r="B87" i="3"/>
  <c r="B106" i="3"/>
  <c r="B90" i="3"/>
  <c r="AF49" i="3"/>
  <c r="AG49" i="3"/>
  <c r="W84" i="3" l="1"/>
  <c r="W100" i="3"/>
  <c r="W104" i="3"/>
  <c r="W113" i="3"/>
  <c r="W95" i="3"/>
  <c r="F24" i="9" s="1"/>
  <c r="Z30" i="3"/>
  <c r="W115" i="3"/>
  <c r="W82" i="3"/>
  <c r="F11" i="9" s="1"/>
  <c r="W76" i="3"/>
  <c r="W97" i="3"/>
  <c r="W78" i="3"/>
  <c r="W106" i="3"/>
  <c r="W108" i="3"/>
  <c r="W80" i="3"/>
  <c r="F9" i="9" s="1"/>
  <c r="W89" i="3"/>
  <c r="W91" i="3"/>
  <c r="W79" i="3"/>
  <c r="F8" i="9" s="1"/>
  <c r="W93" i="3"/>
  <c r="F22" i="9" s="1"/>
  <c r="W83" i="3"/>
  <c r="W96" i="3"/>
  <c r="W105" i="3"/>
  <c r="F34" i="9" s="1"/>
  <c r="W98" i="3"/>
  <c r="F27" i="9" s="1"/>
  <c r="W81" i="3"/>
  <c r="W109" i="3"/>
  <c r="F38" i="9" s="1"/>
  <c r="W99" i="3"/>
  <c r="F28" i="9" s="1"/>
  <c r="W112" i="3"/>
  <c r="W86" i="3"/>
  <c r="W114" i="3"/>
  <c r="F43" i="9" s="1"/>
  <c r="W103" i="3"/>
  <c r="F32" i="9" s="1"/>
  <c r="W107" i="3"/>
  <c r="F36" i="9" s="1"/>
  <c r="W88" i="3"/>
  <c r="W87" i="3"/>
  <c r="F16" i="9" s="1"/>
  <c r="W90" i="3"/>
  <c r="F19" i="9" s="1"/>
  <c r="W92" i="3"/>
  <c r="W102" i="3"/>
  <c r="W101" i="3"/>
  <c r="F30" i="9" s="1"/>
  <c r="V38" i="1"/>
  <c r="W77" i="3"/>
  <c r="F6" i="9" s="1"/>
  <c r="W85" i="3"/>
  <c r="F14" i="9" s="1"/>
  <c r="V39" i="1"/>
  <c r="V40" i="1"/>
  <c r="Z46" i="3"/>
  <c r="Z34" i="3"/>
  <c r="Z58" i="3"/>
  <c r="AA53" i="3"/>
  <c r="AB49" i="3"/>
  <c r="Z63" i="3"/>
  <c r="AA61" i="3"/>
  <c r="AB59" i="3"/>
  <c r="Z53" i="3"/>
  <c r="AA43" i="3"/>
  <c r="AB41" i="3"/>
  <c r="Z41" i="3"/>
  <c r="Z47" i="3"/>
  <c r="Z54" i="3"/>
  <c r="Z59" i="3"/>
  <c r="Z65" i="3"/>
  <c r="AA37" i="3"/>
  <c r="AA45" i="3"/>
  <c r="AA55" i="3"/>
  <c r="AA63" i="3"/>
  <c r="AB43" i="3"/>
  <c r="AB53" i="3"/>
  <c r="AB61" i="3"/>
  <c r="Z31" i="3"/>
  <c r="Z37" i="3"/>
  <c r="Z43" i="3"/>
  <c r="Z49" i="3"/>
  <c r="Z55" i="3"/>
  <c r="Z61" i="3"/>
  <c r="AA31" i="3"/>
  <c r="AA47" i="3"/>
  <c r="AA57" i="3"/>
  <c r="AA65" i="3"/>
  <c r="AB37" i="3"/>
  <c r="AB45" i="3"/>
  <c r="AB55" i="3"/>
  <c r="AB63" i="3"/>
  <c r="Z38" i="3"/>
  <c r="Z45" i="3"/>
  <c r="Z50" i="3"/>
  <c r="Z57" i="3"/>
  <c r="Z62" i="3"/>
  <c r="AA41" i="3"/>
  <c r="AA49" i="3"/>
  <c r="AA59" i="3"/>
  <c r="AB31" i="3"/>
  <c r="AB47" i="3"/>
  <c r="AB57" i="3"/>
  <c r="Z32" i="3"/>
  <c r="Z36" i="3"/>
  <c r="Z40" i="3"/>
  <c r="Z52" i="3"/>
  <c r="Z56" i="3"/>
  <c r="Z64" i="3"/>
  <c r="AA32" i="3"/>
  <c r="AA36" i="3"/>
  <c r="AA40" i="3"/>
  <c r="AA52" i="3"/>
  <c r="AA56" i="3"/>
  <c r="AA64" i="3"/>
  <c r="AB32" i="3"/>
  <c r="AB36" i="3"/>
  <c r="AB40" i="3"/>
  <c r="AB52" i="3"/>
  <c r="AB64" i="3"/>
  <c r="AA30" i="3"/>
  <c r="AA34" i="3"/>
  <c r="AA38" i="3"/>
  <c r="AA46" i="3"/>
  <c r="AA50" i="3"/>
  <c r="AA54" i="3"/>
  <c r="AA58" i="3"/>
  <c r="AA62" i="3"/>
  <c r="AB30" i="3"/>
  <c r="AB34" i="3"/>
  <c r="AB38" i="3"/>
  <c r="AB46" i="3"/>
  <c r="AB50" i="3"/>
  <c r="AB54" i="3"/>
  <c r="AB58" i="3"/>
  <c r="F41" i="9" l="1"/>
  <c r="F40" i="9"/>
  <c r="F17" i="9"/>
  <c r="F12" i="9"/>
  <c r="F20" i="9"/>
  <c r="F42" i="9"/>
  <c r="F15" i="9"/>
  <c r="F18" i="9"/>
  <c r="F33" i="9"/>
  <c r="F37" i="9"/>
  <c r="F29" i="9"/>
  <c r="F35" i="9"/>
  <c r="F13" i="9"/>
  <c r="F31" i="9"/>
  <c r="F10" i="9"/>
  <c r="F7" i="9"/>
  <c r="F21" i="9"/>
  <c r="F26" i="9"/>
  <c r="F23" i="9"/>
  <c r="E48" i="5"/>
  <c r="E49" i="5" s="1"/>
  <c r="E40" i="5"/>
  <c r="E41" i="5" s="1"/>
  <c r="E36" i="5"/>
  <c r="E37" i="5" s="1"/>
  <c r="E32" i="5"/>
  <c r="E33" i="5" s="1"/>
  <c r="AN23" i="6"/>
  <c r="W4" i="6"/>
  <c r="AF22" i="3" l="1"/>
  <c r="AE21" i="3"/>
  <c r="Z11" i="3" l="1"/>
  <c r="E86" i="1" s="1"/>
  <c r="AC63" i="3" l="1"/>
  <c r="AC43" i="3"/>
  <c r="AC35" i="3"/>
  <c r="AC62" i="3"/>
  <c r="AC58" i="3"/>
  <c r="AC54" i="3"/>
  <c r="AC50" i="3"/>
  <c r="AC46" i="3"/>
  <c r="AC42" i="3"/>
  <c r="AC38" i="3"/>
  <c r="AC34" i="3"/>
  <c r="AC30" i="3"/>
  <c r="AC65" i="3"/>
  <c r="AC61" i="3"/>
  <c r="AC57" i="3"/>
  <c r="AC53" i="3"/>
  <c r="AC49" i="3"/>
  <c r="AC45" i="3"/>
  <c r="AC41" i="3"/>
  <c r="AC37" i="3"/>
  <c r="AC33" i="3"/>
  <c r="AC64" i="3"/>
  <c r="AC60" i="3"/>
  <c r="AC56" i="3"/>
  <c r="AC52" i="3"/>
  <c r="AC48" i="3"/>
  <c r="AC44" i="3"/>
  <c r="AC40" i="3"/>
  <c r="AC36" i="3"/>
  <c r="AC32" i="3"/>
  <c r="AC59" i="3"/>
  <c r="AC55" i="3"/>
  <c r="AC51" i="3"/>
  <c r="AC47" i="3"/>
  <c r="AC39" i="3"/>
  <c r="AC31" i="3"/>
  <c r="AA11" i="3" l="1"/>
  <c r="AB11" i="3" l="1"/>
  <c r="Y12" i="3" s="1"/>
  <c r="Y11" i="3"/>
  <c r="AB62" i="3" s="1"/>
  <c r="D86" i="1" l="1"/>
  <c r="AB56" i="3"/>
  <c r="AB65" i="3"/>
  <c r="AB35" i="3"/>
  <c r="AB44" i="3"/>
  <c r="Z12" i="3"/>
  <c r="G86" i="1"/>
  <c r="A111" i="1" s="1"/>
  <c r="AB48" i="3"/>
  <c r="AB39" i="3"/>
  <c r="AB33" i="3"/>
  <c r="AB60" i="3"/>
  <c r="AB51" i="3"/>
  <c r="AB42" i="3"/>
  <c r="AA44" i="3" l="1"/>
  <c r="AA35" i="3"/>
  <c r="Z44" i="3"/>
  <c r="Z35" i="3"/>
  <c r="AA39" i="3"/>
  <c r="AA48" i="3"/>
  <c r="Z48" i="3"/>
  <c r="Z39" i="3"/>
  <c r="Z33" i="3"/>
  <c r="Z60" i="3"/>
  <c r="AA33" i="3"/>
  <c r="AA60" i="3"/>
  <c r="Z42" i="3"/>
  <c r="Z51" i="3"/>
  <c r="AA51" i="3"/>
  <c r="AA42" i="3"/>
  <c r="B4" i="3"/>
  <c r="W5" i="3" s="1"/>
  <c r="F4" i="8" s="1"/>
  <c r="B8" i="3"/>
  <c r="W9" i="3" s="1"/>
  <c r="F8" i="8" s="1"/>
  <c r="B16" i="3"/>
  <c r="W17" i="3" s="1"/>
  <c r="F16" i="8" s="1"/>
  <c r="B28" i="3"/>
  <c r="W29" i="3" s="1"/>
  <c r="F28" i="8" s="1"/>
  <c r="B32" i="3"/>
  <c r="W33" i="3" s="1"/>
  <c r="F32" i="8" s="1"/>
  <c r="B36" i="3"/>
  <c r="W37" i="3" s="1"/>
  <c r="F36" i="8" s="1"/>
  <c r="B48" i="3"/>
  <c r="W49" i="3" s="1"/>
  <c r="L8" i="8" s="1"/>
  <c r="B64" i="3"/>
  <c r="W65" i="3" s="1"/>
  <c r="L24" i="8" s="1"/>
  <c r="B72" i="3"/>
  <c r="B3" i="3"/>
  <c r="W4" i="3" s="1"/>
  <c r="B7" i="3"/>
  <c r="W8" i="3" s="1"/>
  <c r="F7" i="8" s="1"/>
  <c r="B11" i="3"/>
  <c r="W12" i="3" s="1"/>
  <c r="F11" i="8" s="1"/>
  <c r="B15" i="3"/>
  <c r="W16" i="3" s="1"/>
  <c r="F15" i="8" s="1"/>
  <c r="B19" i="3"/>
  <c r="W20" i="3" s="1"/>
  <c r="F19" i="8" s="1"/>
  <c r="B23" i="3"/>
  <c r="W24" i="3" s="1"/>
  <c r="F23" i="8" s="1"/>
  <c r="B27" i="3"/>
  <c r="W28" i="3" s="1"/>
  <c r="F27" i="8" s="1"/>
  <c r="B31" i="3"/>
  <c r="W32" i="3" s="1"/>
  <c r="F31" i="8" s="1"/>
  <c r="B35" i="3"/>
  <c r="W36" i="3" s="1"/>
  <c r="F35" i="8" s="1"/>
  <c r="B39" i="3"/>
  <c r="W40" i="3" s="1"/>
  <c r="F39" i="8" s="1"/>
  <c r="B43" i="3"/>
  <c r="W44" i="3" s="1"/>
  <c r="F43" i="8" s="1"/>
  <c r="B47" i="3"/>
  <c r="W48" i="3" s="1"/>
  <c r="L7" i="8" s="1"/>
  <c r="B51" i="3"/>
  <c r="W52" i="3" s="1"/>
  <c r="L11" i="8" s="1"/>
  <c r="B55" i="3"/>
  <c r="W56" i="3" s="1"/>
  <c r="L15" i="8" s="1"/>
  <c r="B59" i="3"/>
  <c r="W60" i="3" s="1"/>
  <c r="L19" i="8" s="1"/>
  <c r="B63" i="3"/>
  <c r="W64" i="3" s="1"/>
  <c r="L23" i="8" s="1"/>
  <c r="B67" i="3"/>
  <c r="B71" i="3"/>
  <c r="B12" i="3"/>
  <c r="W13" i="3" s="1"/>
  <c r="F12" i="8" s="1"/>
  <c r="B20" i="3"/>
  <c r="B40" i="3"/>
  <c r="W41" i="3" s="1"/>
  <c r="F40" i="8" s="1"/>
  <c r="B44" i="3"/>
  <c r="W45" i="3" s="1"/>
  <c r="F44" i="8" s="1"/>
  <c r="B52" i="3"/>
  <c r="W53" i="3" s="1"/>
  <c r="L12" i="8" s="1"/>
  <c r="B56" i="3"/>
  <c r="W57" i="3" s="1"/>
  <c r="L16" i="8" s="1"/>
  <c r="B60" i="3"/>
  <c r="W61" i="3" s="1"/>
  <c r="L20" i="8" s="1"/>
  <c r="B68" i="3"/>
  <c r="W69" i="3" s="1"/>
  <c r="B10" i="3"/>
  <c r="W11" i="3" s="1"/>
  <c r="F10" i="8" s="1"/>
  <c r="B14" i="3"/>
  <c r="W15" i="3" s="1"/>
  <c r="F14" i="8" s="1"/>
  <c r="B18" i="3"/>
  <c r="W19" i="3" s="1"/>
  <c r="F18" i="8" s="1"/>
  <c r="B22" i="3"/>
  <c r="W23" i="3" s="1"/>
  <c r="F22" i="8" s="1"/>
  <c r="B26" i="3"/>
  <c r="W27" i="3" s="1"/>
  <c r="F26" i="8" s="1"/>
  <c r="B30" i="3"/>
  <c r="W31" i="3" s="1"/>
  <c r="F30" i="8" s="1"/>
  <c r="B34" i="3"/>
  <c r="W35" i="3" s="1"/>
  <c r="F34" i="8" s="1"/>
  <c r="B38" i="3"/>
  <c r="W39" i="3" s="1"/>
  <c r="F38" i="8" s="1"/>
  <c r="B42" i="3"/>
  <c r="W43" i="3" s="1"/>
  <c r="F42" i="8" s="1"/>
  <c r="B46" i="3"/>
  <c r="W47" i="3" s="1"/>
  <c r="F46" i="8" s="1"/>
  <c r="B50" i="3"/>
  <c r="W51" i="3" s="1"/>
  <c r="L10" i="8" s="1"/>
  <c r="B54" i="3"/>
  <c r="W55" i="3" s="1"/>
  <c r="L14" i="8" s="1"/>
  <c r="B58" i="3"/>
  <c r="W59" i="3" s="1"/>
  <c r="L18" i="8" s="1"/>
  <c r="B62" i="3"/>
  <c r="W63" i="3" s="1"/>
  <c r="L22" i="8" s="1"/>
  <c r="B66" i="3"/>
  <c r="B70" i="3"/>
  <c r="B74" i="3"/>
  <c r="W75" i="3" s="1"/>
  <c r="F5" i="9" s="1"/>
  <c r="B24" i="3"/>
  <c r="W25" i="3" s="1"/>
  <c r="F24" i="8" s="1"/>
  <c r="B6" i="3"/>
  <c r="W7" i="3" s="1"/>
  <c r="F6" i="8" s="1"/>
  <c r="B5" i="3"/>
  <c r="W6" i="3" s="1"/>
  <c r="F5" i="8" s="1"/>
  <c r="B9" i="3"/>
  <c r="W10" i="3" s="1"/>
  <c r="F9" i="8" s="1"/>
  <c r="B13" i="3"/>
  <c r="W14" i="3" s="1"/>
  <c r="F13" i="8" s="1"/>
  <c r="B17" i="3"/>
  <c r="W18" i="3" s="1"/>
  <c r="F17" i="8" s="1"/>
  <c r="B21" i="3"/>
  <c r="W22" i="3" s="1"/>
  <c r="F21" i="8" s="1"/>
  <c r="B25" i="3"/>
  <c r="W26" i="3" s="1"/>
  <c r="F25" i="8" s="1"/>
  <c r="B29" i="3"/>
  <c r="W30" i="3" s="1"/>
  <c r="F29" i="8" s="1"/>
  <c r="B33" i="3"/>
  <c r="W34" i="3" s="1"/>
  <c r="F33" i="8" s="1"/>
  <c r="B37" i="3"/>
  <c r="W38" i="3" s="1"/>
  <c r="F37" i="8" s="1"/>
  <c r="B41" i="3"/>
  <c r="W42" i="3" s="1"/>
  <c r="F41" i="8" s="1"/>
  <c r="B45" i="3"/>
  <c r="W46" i="3" s="1"/>
  <c r="F45" i="8" s="1"/>
  <c r="B49" i="3"/>
  <c r="W50" i="3" s="1"/>
  <c r="L9" i="8" s="1"/>
  <c r="B53" i="3"/>
  <c r="W54" i="3" s="1"/>
  <c r="L13" i="8" s="1"/>
  <c r="B57" i="3"/>
  <c r="W58" i="3" s="1"/>
  <c r="L17" i="8" s="1"/>
  <c r="B61" i="3"/>
  <c r="W62" i="3" s="1"/>
  <c r="L21" i="8" s="1"/>
  <c r="B65" i="3"/>
  <c r="B69" i="3"/>
  <c r="W70" i="3" s="1"/>
  <c r="L29" i="8" s="1"/>
  <c r="B73" i="3"/>
  <c r="W74" i="3" s="1"/>
  <c r="I14" i="1"/>
  <c r="W71" i="3" l="1"/>
  <c r="L30" i="8" s="1"/>
  <c r="W72" i="3"/>
  <c r="L31" i="8" s="1"/>
  <c r="W67" i="3"/>
  <c r="W68" i="3"/>
  <c r="L27" i="8" s="1"/>
  <c r="L28" i="8"/>
  <c r="W66" i="3"/>
  <c r="L25" i="8" s="1"/>
  <c r="W73" i="3"/>
  <c r="L32" i="8" s="1"/>
  <c r="F13" i="1"/>
  <c r="I13" i="1"/>
  <c r="F3" i="8"/>
  <c r="W21" i="3"/>
  <c r="F20" i="8" s="1"/>
  <c r="W40" i="1"/>
  <c r="W39" i="1"/>
  <c r="W38" i="1"/>
  <c r="C13" i="1"/>
  <c r="H13" i="1"/>
  <c r="Q2" i="6"/>
  <c r="L26" i="8" l="1"/>
  <c r="F39" i="1"/>
  <c r="F27" i="5" l="1"/>
  <c r="F25" i="5"/>
  <c r="X4" i="6" l="1"/>
  <c r="X5" i="6"/>
  <c r="X6" i="6"/>
  <c r="W7" i="6"/>
  <c r="W6" i="6"/>
  <c r="X9" i="6"/>
  <c r="I4" i="1"/>
  <c r="W9" i="6"/>
  <c r="W8" i="6"/>
  <c r="W5" i="6"/>
  <c r="AN30" i="6"/>
  <c r="AS30" i="6" s="1"/>
  <c r="AN29" i="6"/>
  <c r="AP29" i="6" s="1"/>
  <c r="AN28" i="6"/>
  <c r="AS28" i="6" s="1"/>
  <c r="AN27" i="6"/>
  <c r="AR27" i="6" s="1"/>
  <c r="AN26" i="6"/>
  <c r="AS26" i="6" s="1"/>
  <c r="AN25" i="6"/>
  <c r="AO25" i="6" s="1"/>
  <c r="AN24" i="6"/>
  <c r="AS24" i="6" s="1"/>
  <c r="AR23" i="6"/>
  <c r="F1" i="6"/>
  <c r="E3" i="6"/>
  <c r="E4" i="6"/>
  <c r="E8" i="6"/>
  <c r="E7" i="6"/>
  <c r="E6" i="6"/>
  <c r="E5" i="6"/>
  <c r="E2" i="6"/>
  <c r="H1" i="6"/>
  <c r="I6" i="6" s="1"/>
  <c r="N41" i="6"/>
  <c r="N40" i="6"/>
  <c r="N39" i="6"/>
  <c r="N38" i="6"/>
  <c r="N37" i="6"/>
  <c r="N35" i="6"/>
  <c r="N34" i="6"/>
  <c r="N33" i="6"/>
  <c r="N32" i="6"/>
  <c r="N31" i="6"/>
  <c r="N29" i="6"/>
  <c r="N28" i="6"/>
  <c r="N27" i="6"/>
  <c r="N26" i="6"/>
  <c r="N25" i="6"/>
  <c r="N24" i="6"/>
  <c r="N22" i="6"/>
  <c r="N21" i="6"/>
  <c r="N20" i="6"/>
  <c r="N19" i="6"/>
  <c r="N18" i="6"/>
  <c r="N17" i="6"/>
  <c r="N15" i="6"/>
  <c r="N14" i="6"/>
  <c r="N13" i="6"/>
  <c r="N12" i="6"/>
  <c r="N11" i="6"/>
  <c r="N10" i="6"/>
  <c r="N8" i="6"/>
  <c r="N7" i="6"/>
  <c r="N6" i="6"/>
  <c r="N5" i="6"/>
  <c r="N4" i="6"/>
  <c r="N3" i="6"/>
  <c r="N2" i="6"/>
  <c r="I31" i="1"/>
  <c r="F30" i="1"/>
  <c r="I30" i="1" s="1"/>
  <c r="C15" i="1"/>
  <c r="I39" i="1"/>
  <c r="H39" i="1"/>
  <c r="H38" i="1"/>
  <c r="F38" i="1"/>
  <c r="H37" i="1"/>
  <c r="H30" i="1"/>
  <c r="C23" i="1"/>
  <c r="F29" i="5"/>
  <c r="C29" i="5" s="1"/>
  <c r="C25" i="5"/>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3" i="3"/>
  <c r="F37" i="1"/>
  <c r="I22" i="1"/>
  <c r="I23" i="1"/>
  <c r="F21" i="1" l="1"/>
  <c r="J78" i="3"/>
  <c r="J77" i="3"/>
  <c r="J81" i="3"/>
  <c r="J80" i="3"/>
  <c r="J76" i="3"/>
  <c r="J79" i="3"/>
  <c r="J75" i="3"/>
  <c r="J74" i="3"/>
  <c r="J73" i="3"/>
  <c r="J15" i="3"/>
  <c r="J14" i="3"/>
  <c r="J21" i="3"/>
  <c r="J13" i="3"/>
  <c r="J20" i="3"/>
  <c r="J18" i="3"/>
  <c r="J17" i="3"/>
  <c r="J19" i="3"/>
  <c r="J16" i="3"/>
  <c r="J25" i="3"/>
  <c r="J24" i="3"/>
  <c r="J30" i="3"/>
  <c r="J23" i="3"/>
  <c r="J29" i="3"/>
  <c r="J31" i="3"/>
  <c r="J28" i="3"/>
  <c r="J27" i="3"/>
  <c r="J26" i="3"/>
  <c r="J91" i="3"/>
  <c r="J90" i="3"/>
  <c r="J89" i="3"/>
  <c r="J88" i="3"/>
  <c r="J87" i="3"/>
  <c r="J83" i="3"/>
  <c r="J86" i="3"/>
  <c r="J84" i="3"/>
  <c r="J85" i="3"/>
  <c r="J38" i="3"/>
  <c r="J37" i="3"/>
  <c r="J41" i="3"/>
  <c r="J40" i="3"/>
  <c r="J36" i="3"/>
  <c r="J35" i="3"/>
  <c r="J33" i="3"/>
  <c r="J34" i="3"/>
  <c r="J39" i="3"/>
  <c r="J11" i="3"/>
  <c r="J10" i="3"/>
  <c r="J9" i="3"/>
  <c r="J8" i="3"/>
  <c r="J57" i="3"/>
  <c r="J56" i="3"/>
  <c r="J55" i="3"/>
  <c r="J54" i="3"/>
  <c r="J53" i="3"/>
  <c r="J61" i="3"/>
  <c r="J60" i="3"/>
  <c r="J59" i="3"/>
  <c r="J58" i="3"/>
  <c r="J51" i="3"/>
  <c r="J50" i="3"/>
  <c r="J43" i="3"/>
  <c r="J49" i="3"/>
  <c r="J48" i="3"/>
  <c r="J45" i="3"/>
  <c r="J47" i="3"/>
  <c r="J46" i="3"/>
  <c r="J44" i="3"/>
  <c r="J65" i="3"/>
  <c r="J64" i="3"/>
  <c r="J69" i="3"/>
  <c r="J68" i="3"/>
  <c r="J67" i="3"/>
  <c r="J63" i="3"/>
  <c r="J71" i="3"/>
  <c r="J70" i="3"/>
  <c r="J66" i="3"/>
  <c r="I38" i="1"/>
  <c r="X7" i="6"/>
  <c r="I8" i="6"/>
  <c r="J8" i="6"/>
  <c r="I5" i="6"/>
  <c r="J6" i="6" s="1"/>
  <c r="AO24" i="6"/>
  <c r="I3" i="6"/>
  <c r="I2" i="6"/>
  <c r="I7" i="6"/>
  <c r="J7" i="6" s="1"/>
  <c r="X8" i="6"/>
  <c r="I4" i="6"/>
  <c r="J4" i="6"/>
  <c r="J3" i="6"/>
  <c r="F16" i="1"/>
  <c r="H21" i="1"/>
  <c r="I21" i="1" s="1"/>
  <c r="I37" i="1"/>
  <c r="C14" i="1"/>
  <c r="C16" i="1" s="1"/>
  <c r="C20" i="1" s="1"/>
  <c r="C21" i="1"/>
  <c r="AS27" i="6"/>
  <c r="AO27" i="6"/>
  <c r="AP24" i="6"/>
  <c r="AS23" i="6"/>
  <c r="AR24" i="6"/>
  <c r="AP28" i="6"/>
  <c r="AR29" i="6"/>
  <c r="AQ29" i="6" s="1"/>
  <c r="AP25" i="6"/>
  <c r="AR25" i="6"/>
  <c r="AS29" i="6"/>
  <c r="AS25" i="6"/>
  <c r="AO29" i="6"/>
  <c r="AP26" i="6"/>
  <c r="AR30" i="6"/>
  <c r="AP23" i="6"/>
  <c r="AQ23" i="6" s="1"/>
  <c r="AR28" i="6"/>
  <c r="AR26" i="6"/>
  <c r="AO30" i="6"/>
  <c r="AO26" i="6"/>
  <c r="AP30" i="6"/>
  <c r="AP27" i="6"/>
  <c r="AQ27" i="6" s="1"/>
  <c r="AO23" i="6"/>
  <c r="AO28" i="6"/>
  <c r="I16" i="1"/>
  <c r="AQ26" i="6" l="1"/>
  <c r="J5" i="6"/>
  <c r="F10" i="6" s="1"/>
  <c r="F28" i="1"/>
  <c r="H29" i="1" s="1"/>
  <c r="I29" i="1" s="1"/>
  <c r="I54" i="1"/>
  <c r="I36" i="1"/>
  <c r="I40" i="1" s="1"/>
  <c r="I28" i="1"/>
  <c r="F20" i="1"/>
  <c r="F24" i="1" s="1"/>
  <c r="R31" i="1"/>
  <c r="R32" i="1" s="1"/>
  <c r="AQ24" i="6"/>
  <c r="C22" i="1"/>
  <c r="C24" i="1" s="1"/>
  <c r="F36" i="1"/>
  <c r="F40" i="1" s="1"/>
  <c r="I47" i="1" s="1"/>
  <c r="AQ25" i="6"/>
  <c r="AQ28" i="6"/>
  <c r="AQ30" i="6"/>
  <c r="I20" i="1"/>
  <c r="I24" i="1" s="1"/>
  <c r="F32" i="1" l="1"/>
  <c r="B27" i="5" s="1"/>
  <c r="K13" i="5" s="1"/>
  <c r="C27" i="5" s="1"/>
  <c r="I32" i="1"/>
  <c r="B25" i="5"/>
  <c r="D10" i="5" s="1"/>
  <c r="H24" i="1"/>
  <c r="D25" i="5" s="1"/>
  <c r="B29" i="5"/>
  <c r="G17" i="5" s="1"/>
  <c r="H40" i="1"/>
  <c r="D29" i="5" s="1"/>
  <c r="G9" i="5" l="1"/>
  <c r="H32" i="1"/>
  <c r="D27" i="5" s="1"/>
  <c r="I44" i="1"/>
  <c r="D8" i="5"/>
  <c r="G8" i="5"/>
  <c r="D7" i="5"/>
  <c r="G6" i="5"/>
  <c r="D9" i="5"/>
  <c r="G15" i="5"/>
  <c r="D17" i="5"/>
  <c r="E27" i="5"/>
  <c r="D16" i="5"/>
  <c r="I49" i="1"/>
  <c r="D19" i="5"/>
  <c r="D18" i="5"/>
  <c r="G18" i="5"/>
  <c r="I46" i="1" l="1"/>
  <c r="AM21" i="3"/>
  <c r="AL21" i="3" s="1"/>
  <c r="AT29" i="6"/>
  <c r="AT25" i="6"/>
  <c r="AV25" i="6" s="1"/>
  <c r="AT28" i="6"/>
  <c r="AU28" i="6" s="1"/>
  <c r="AT24" i="6"/>
  <c r="AV24" i="6" s="1"/>
  <c r="AT27" i="6"/>
  <c r="AV27" i="6" s="1"/>
  <c r="AT30" i="6"/>
  <c r="AV30" i="6" s="1"/>
  <c r="AT26" i="6"/>
  <c r="AV26" i="6" s="1"/>
  <c r="AM19" i="3"/>
  <c r="AL19" i="3" s="1"/>
  <c r="AU29" i="6"/>
  <c r="AT23" i="6"/>
  <c r="AV23" i="6" s="1"/>
  <c r="E25" i="5"/>
  <c r="I45" i="1" s="1"/>
  <c r="E29" i="5"/>
  <c r="I48" i="1" s="1"/>
  <c r="AH32" i="3" l="1"/>
  <c r="AU25" i="6"/>
  <c r="AU26" i="6"/>
  <c r="AI32" i="3"/>
  <c r="AU24" i="6"/>
  <c r="AV29" i="6"/>
  <c r="AU30" i="6"/>
  <c r="AU23" i="6"/>
  <c r="AV28" i="6"/>
  <c r="AU27" i="6"/>
  <c r="I53" i="1" l="1"/>
</calcChain>
</file>

<file path=xl/comments1.xml><?xml version="1.0" encoding="utf-8"?>
<comments xmlns="http://schemas.openxmlformats.org/spreadsheetml/2006/main">
  <authors>
    <author>Flood, Steven A Capt USMC USN HT-28 (USA)</author>
  </authors>
  <commentList>
    <comment ref="D7" authorId="0" shapeId="0">
      <text>
        <r>
          <rPr>
            <b/>
            <sz val="9"/>
            <color indexed="81"/>
            <rFont val="Tahoma"/>
            <family val="2"/>
          </rPr>
          <t>In the form "ddd/vvGvv"</t>
        </r>
      </text>
    </comment>
  </commentList>
</comments>
</file>

<file path=xl/comments2.xml><?xml version="1.0" encoding="utf-8"?>
<comments xmlns="http://schemas.openxmlformats.org/spreadsheetml/2006/main">
  <authors>
    <author>Ericson, Heidi C LT USN HT-28 (USA)</author>
  </authors>
  <commentList>
    <comment ref="H114" authorId="0" shapeId="0">
      <text>
        <r>
          <rPr>
            <b/>
            <sz val="9"/>
            <color indexed="81"/>
            <rFont val="Tahoma"/>
            <family val="2"/>
          </rPr>
          <t>DO NOT MAKE THESE CHARACTERS '*' OR A SERIES THEREOF. EXCEL DOES NOT READ THEM.</t>
        </r>
      </text>
    </comment>
    <comment ref="H115" authorId="0" shapeId="0">
      <text>
        <r>
          <rPr>
            <b/>
            <sz val="9"/>
            <color indexed="81"/>
            <rFont val="Tahoma"/>
            <family val="2"/>
          </rPr>
          <t>DO NOT MAKE THESE CHARACTERS '*' OR A SERIES THEREOF. EXCEL DOES NOT READ THEM.</t>
        </r>
      </text>
    </comment>
    <comment ref="H116" authorId="0" shapeId="0">
      <text>
        <r>
          <rPr>
            <b/>
            <sz val="9"/>
            <color indexed="81"/>
            <rFont val="Tahoma"/>
            <family val="2"/>
          </rPr>
          <t>DO NOT MAKE THESE CHARACTERS '*' OR A SERIES THEREOF. EXCEL DOES NOT READ THEM.</t>
        </r>
      </text>
    </comment>
  </commentList>
</comments>
</file>

<file path=xl/comments3.xml><?xml version="1.0" encoding="utf-8"?>
<comments xmlns="http://schemas.openxmlformats.org/spreadsheetml/2006/main">
  <authors>
    <author>Flood, Steven A Capt USMC USN HT-28 (USA)</author>
  </authors>
  <commentList>
    <comment ref="F2" authorId="0" shapeId="0">
      <text>
        <r>
          <rPr>
            <b/>
            <sz val="9"/>
            <color indexed="81"/>
            <rFont val="Tahoma"/>
            <family val="2"/>
          </rPr>
          <t>Flood, Steven A Capt USMC USN HT-28 (USA):</t>
        </r>
        <r>
          <rPr>
            <sz val="9"/>
            <color indexed="81"/>
            <rFont val="Tahoma"/>
            <family val="2"/>
          </rPr>
          <t xml:space="preserve">
Equations for the lines developed from the DA chart data.
Equation developed using graphing software for the data set to the left.</t>
        </r>
      </text>
    </comment>
    <comment ref="I2" authorId="0" shapeId="0">
      <text>
        <r>
          <rPr>
            <b/>
            <sz val="9"/>
            <color indexed="81"/>
            <rFont val="Tahoma"/>
            <family val="2"/>
          </rPr>
          <t>Flood, Steven A Capt USMC USN HT-28 (USA):</t>
        </r>
        <r>
          <rPr>
            <sz val="9"/>
            <color indexed="81"/>
            <rFont val="Tahoma"/>
            <family val="2"/>
          </rPr>
          <t xml:space="preserve">
Product of equation for tempt to PA along trendlines in chart.</t>
        </r>
      </text>
    </comment>
    <comment ref="C15" authorId="0" shapeId="0">
      <text>
        <r>
          <rPr>
            <b/>
            <sz val="9"/>
            <color indexed="81"/>
            <rFont val="Tahoma"/>
            <family val="2"/>
          </rPr>
          <t>Flood, Steven A Capt USMC USN HT-28 (USA):</t>
        </r>
        <r>
          <rPr>
            <sz val="9"/>
            <color indexed="81"/>
            <rFont val="Tahoma"/>
            <family val="2"/>
          </rPr>
          <t xml:space="preserve">
These values were pulled from the chart for DA in the NFM.</t>
        </r>
      </text>
    </comment>
  </commentList>
</comments>
</file>

<file path=xl/sharedStrings.xml><?xml version="1.0" encoding="utf-8"?>
<sst xmlns="http://schemas.openxmlformats.org/spreadsheetml/2006/main" count="763" uniqueCount="387">
  <si>
    <t>INSTRUCTOR</t>
  </si>
  <si>
    <t>ACFT</t>
  </si>
  <si>
    <t>SPOT</t>
  </si>
  <si>
    <t>STUDENT</t>
  </si>
  <si>
    <t>CURRENT WX</t>
  </si>
  <si>
    <t>MAX TEMP</t>
  </si>
  <si>
    <t>MAX PA</t>
  </si>
  <si>
    <t>MAX DA</t>
  </si>
  <si>
    <t>TH-57 WEIGHT &amp; BALANCE</t>
  </si>
  <si>
    <t>Oil:</t>
  </si>
  <si>
    <t>Basic Weight:</t>
  </si>
  <si>
    <t>Crew Forward:</t>
  </si>
  <si>
    <t>Operating Wt:</t>
  </si>
  <si>
    <t>MOMENT</t>
  </si>
  <si>
    <t>HEAVIEST A/C</t>
  </si>
  <si>
    <t>+</t>
  </si>
  <si>
    <t>Crew/Pax Aft:</t>
  </si>
  <si>
    <t>Baggage:</t>
  </si>
  <si>
    <t>TAKEOFF</t>
  </si>
  <si>
    <t>Fuel:</t>
  </si>
  <si>
    <t>Crew Aft:</t>
  </si>
  <si>
    <t>External Load:</t>
  </si>
  <si>
    <t>LANDING</t>
  </si>
  <si>
    <t>Fuel (10g):</t>
  </si>
  <si>
    <t>Highest Gross Weight CG:</t>
  </si>
  <si>
    <t>Landing Gross Weight CG:</t>
  </si>
  <si>
    <t>NATOPS Question of the Day:</t>
  </si>
  <si>
    <t>Emergency of the Day:</t>
  </si>
  <si>
    <r>
      <t>Gross Wt (</t>
    </r>
    <r>
      <rPr>
        <b/>
        <sz val="8"/>
        <rFont val="Arial"/>
        <family val="2"/>
      </rPr>
      <t>1</t>
    </r>
    <r>
      <rPr>
        <sz val="8"/>
        <rFont val="Arial"/>
        <family val="2"/>
      </rPr>
      <t>):</t>
    </r>
  </si>
  <si>
    <r>
      <t>Gross Wt: (</t>
    </r>
    <r>
      <rPr>
        <b/>
        <sz val="8"/>
        <rFont val="Arial"/>
        <family val="2"/>
      </rPr>
      <t>2</t>
    </r>
    <r>
      <rPr>
        <sz val="8"/>
        <rFont val="Arial"/>
        <family val="2"/>
      </rPr>
      <t>):</t>
    </r>
  </si>
  <si>
    <r>
      <t>Gross Wt: (</t>
    </r>
    <r>
      <rPr>
        <b/>
        <sz val="8"/>
        <rFont val="Arial"/>
        <family val="2"/>
      </rPr>
      <t>3</t>
    </r>
    <r>
      <rPr>
        <sz val="8"/>
        <rFont val="Arial"/>
        <family val="2"/>
      </rPr>
      <t>):</t>
    </r>
  </si>
  <si>
    <r>
      <t>Highest Gross Weight CG Range 106.0 (B) 106.75 (C)</t>
    </r>
    <r>
      <rPr>
        <i/>
        <sz val="8"/>
        <rFont val="Arial"/>
        <family val="2"/>
      </rPr>
      <t xml:space="preserve"> </t>
    </r>
    <r>
      <rPr>
        <sz val="8"/>
        <rFont val="Arial"/>
        <family val="2"/>
      </rPr>
      <t>to:</t>
    </r>
  </si>
  <si>
    <r>
      <t>Landing Gross Weight (</t>
    </r>
    <r>
      <rPr>
        <b/>
        <sz val="8"/>
        <rFont val="Arial"/>
        <family val="2"/>
      </rPr>
      <t>3</t>
    </r>
    <r>
      <rPr>
        <sz val="8"/>
        <rFont val="Arial"/>
        <family val="2"/>
      </rPr>
      <t>):</t>
    </r>
  </si>
  <si>
    <r>
      <t>Landing Gross Weight CG Range 106.0 (B) 106.75 (C)</t>
    </r>
    <r>
      <rPr>
        <i/>
        <sz val="8"/>
        <rFont val="Arial"/>
        <family val="2"/>
      </rPr>
      <t xml:space="preserve"> </t>
    </r>
    <r>
      <rPr>
        <sz val="8"/>
        <rFont val="Arial"/>
        <family val="2"/>
      </rPr>
      <t>to:</t>
    </r>
  </si>
  <si>
    <t>+                 12</t>
  </si>
  <si>
    <t>+            22</t>
  </si>
  <si>
    <t>+               12</t>
  </si>
  <si>
    <t>+                 150</t>
  </si>
  <si>
    <t>+         160.65</t>
  </si>
  <si>
    <t>/</t>
  </si>
  <si>
    <t>FWD CG / ACTUAL A/C</t>
  </si>
  <si>
    <t>EXTERNAL OPS</t>
  </si>
  <si>
    <t>Fuel (JP-8) 91g:</t>
  </si>
  <si>
    <t>EVENT</t>
  </si>
  <si>
    <t>DATE</t>
  </si>
  <si>
    <t>FORECAST WX</t>
  </si>
  <si>
    <r>
      <t>Highest Gross Weight (</t>
    </r>
    <r>
      <rPr>
        <b/>
        <sz val="8"/>
        <rFont val="Arial"/>
        <family val="2"/>
      </rPr>
      <t>1) or (2</t>
    </r>
    <r>
      <rPr>
        <sz val="8"/>
        <rFont val="Arial"/>
        <family val="2"/>
      </rPr>
      <t>):</t>
    </r>
  </si>
  <si>
    <r>
      <t>Highest Gross Weight (</t>
    </r>
    <r>
      <rPr>
        <b/>
        <sz val="8"/>
        <rFont val="Arial"/>
        <family val="2"/>
      </rPr>
      <t>1) or (2</t>
    </r>
    <r>
      <rPr>
        <sz val="8"/>
        <rFont val="Arial"/>
        <family val="2"/>
      </rPr>
      <t>) HIGE / HOGE:</t>
    </r>
  </si>
  <si>
    <t>IP/Duty Officer Signature__________________________</t>
  </si>
  <si>
    <t>Fuel State @ 2900 lbs Gross Weight:</t>
  </si>
  <si>
    <t>gal</t>
  </si>
  <si>
    <t>74.17</t>
  </si>
  <si>
    <t>67</t>
  </si>
  <si>
    <t>609.7</t>
  </si>
  <si>
    <t>719.45</t>
  </si>
  <si>
    <t>Arm</t>
  </si>
  <si>
    <t xml:space="preserve">TH-57C's </t>
  </si>
  <si>
    <t xml:space="preserve">A/C Basic </t>
  </si>
  <si>
    <t xml:space="preserve">Moment </t>
  </si>
  <si>
    <t xml:space="preserve">NOTE: Cargo hooks are installed on </t>
  </si>
  <si>
    <t xml:space="preserve">A/C 150 through 169. Figures listed </t>
  </si>
  <si>
    <t xml:space="preserve">here reflect hook installed. </t>
  </si>
  <si>
    <t xml:space="preserve">Moment readings are rounded up at the tenths for formatting. R = cargo hook removed until in-service repairs completed. (NOTE: </t>
  </si>
  <si>
    <t xml:space="preserve">AIRCRAFT IN BOLD PRINT INDICATES CHANGES FROM PREVIOUS MMP) </t>
  </si>
  <si>
    <t>Side #</t>
  </si>
  <si>
    <t xml:space="preserve">TH-57B's </t>
  </si>
  <si>
    <t>Fuel (JP-8, gal):</t>
  </si>
  <si>
    <t>ACFT TYPE/NUM</t>
  </si>
  <si>
    <t>B</t>
  </si>
  <si>
    <t>C</t>
  </si>
  <si>
    <t>Inches</t>
  </si>
  <si>
    <t>Pounds</t>
  </si>
  <si>
    <t>Our Aircraft</t>
  </si>
  <si>
    <t>FCS On</t>
  </si>
  <si>
    <t>FCS Off</t>
  </si>
  <si>
    <t>MIN CG</t>
  </si>
  <si>
    <t>MAX CG</t>
  </si>
  <si>
    <t>Weight</t>
  </si>
  <si>
    <t>300*x-3.13E+04</t>
  </si>
  <si>
    <t>T/O CG</t>
  </si>
  <si>
    <t>T/O Most Fwd CG Wt</t>
  </si>
  <si>
    <t>Fuel (gal):</t>
  </si>
  <si>
    <t>Ldg CG</t>
  </si>
  <si>
    <t>Takeoff Table</t>
  </si>
  <si>
    <t>Landing Table</t>
  </si>
  <si>
    <t>External Only Table</t>
  </si>
  <si>
    <t>External CG</t>
  </si>
  <si>
    <t>200*x-1.8E+04</t>
  </si>
  <si>
    <t>EXTERNAL OPS?</t>
  </si>
  <si>
    <t>Yes</t>
  </si>
  <si>
    <t>No</t>
  </si>
  <si>
    <t>DA</t>
  </si>
  <si>
    <t>PA</t>
  </si>
  <si>
    <t>T</t>
  </si>
  <si>
    <t>1.30343249*x-1.07149518E+04</t>
  </si>
  <si>
    <t>1.27624002*x-7385.66857013</t>
  </si>
  <si>
    <t>1.24187088*x-4488.76970943</t>
  </si>
  <si>
    <t>1.22226106*x-1701.67812092</t>
  </si>
  <si>
    <t>1.22641111*x+642.18024404</t>
  </si>
  <si>
    <t>1.18382693*x+2995.70455166</t>
  </si>
  <si>
    <t>1.17036359*x+4932.92786475</t>
  </si>
  <si>
    <t>X</t>
  </si>
  <si>
    <t>Y</t>
  </si>
  <si>
    <t>Z</t>
  </si>
  <si>
    <t>AVG PA</t>
  </si>
  <si>
    <t>TEMP</t>
  </si>
  <si>
    <t>-40 F</t>
  </si>
  <si>
    <t>-20 F</t>
  </si>
  <si>
    <t>0</t>
  </si>
  <si>
    <t>0 F</t>
  </si>
  <si>
    <t>20 F</t>
  </si>
  <si>
    <t>40 F</t>
  </si>
  <si>
    <t>60 F</t>
  </si>
  <si>
    <t>-4.64281988E-06*x^2+1.28578376*x-7355.09555117</t>
  </si>
  <si>
    <t>5.90893394E-06*x^2+1.20549828*x-4529.62779137</t>
  </si>
  <si>
    <t>4.59499189E-06*x^2+1.17584372*x-1661.05765589</t>
  </si>
  <si>
    <t>1.74042449E-06*x^2+1.15633166*x+3053.70981266</t>
  </si>
  <si>
    <t>2.39554731E-06*x^2+1.19667449*x+714.25790774</t>
  </si>
  <si>
    <t>1.15764586E-05*x^2+1.10939117*x+4978.14588805</t>
  </si>
  <si>
    <t>PA v. DA Forms (insert PA to get DA)</t>
  </si>
  <si>
    <t>T v. PA Forms (insert T to get DA)</t>
  </si>
  <si>
    <t>Torque</t>
  </si>
  <si>
    <t>T =</t>
  </si>
  <si>
    <t>PA =</t>
  </si>
  <si>
    <t>DA =</t>
  </si>
  <si>
    <t>-4.64281988E-06</t>
  </si>
  <si>
    <t>1.28578376</t>
  </si>
  <si>
    <t>-7355.09555117</t>
  </si>
  <si>
    <t>5.90893394E-06</t>
  </si>
  <si>
    <t>1.20549828</t>
  </si>
  <si>
    <t>-4529.62779137</t>
  </si>
  <si>
    <t>4.59499189E-06</t>
  </si>
  <si>
    <t>1.17584372</t>
  </si>
  <si>
    <t>-1661.05765589</t>
  </si>
  <si>
    <t>2.39554731E-06</t>
  </si>
  <si>
    <t>1.19667449</t>
  </si>
  <si>
    <t>+714.25790774</t>
  </si>
  <si>
    <t>1.74042449E-06</t>
  </si>
  <si>
    <t>1.15633166</t>
  </si>
  <si>
    <t>3053.70981266</t>
  </si>
  <si>
    <t>1.15764586E-05</t>
  </si>
  <si>
    <t>1.10939117</t>
  </si>
  <si>
    <t>4978.14588805</t>
  </si>
  <si>
    <t>HOGE</t>
  </si>
  <si>
    <t>HIGE</t>
  </si>
  <si>
    <t>2 ft Height</t>
  </si>
  <si>
    <t>4 ft Height</t>
  </si>
  <si>
    <t>10 ft Height</t>
  </si>
  <si>
    <t>15 ft Height</t>
  </si>
  <si>
    <r>
      <t>Highest Gross Weight (</t>
    </r>
    <r>
      <rPr>
        <b/>
        <sz val="8"/>
        <rFont val="Arial"/>
        <family val="2"/>
      </rPr>
      <t>1) or (2</t>
    </r>
    <r>
      <rPr>
        <sz val="8"/>
        <rFont val="Arial"/>
        <family val="2"/>
      </rPr>
      <t>) 5-ft-HIGE / HOGE:</t>
    </r>
  </si>
  <si>
    <t>2</t>
  </si>
  <si>
    <t>1</t>
  </si>
  <si>
    <t>Most Forward/Actual CG:</t>
  </si>
  <si>
    <t>Fuel State @ Gross Weight of:</t>
  </si>
  <si>
    <t>MDS</t>
  </si>
  <si>
    <t>Serial Number</t>
  </si>
  <si>
    <t>Weight (lb)</t>
  </si>
  <si>
    <t>Long. Arm (in)</t>
  </si>
  <si>
    <t>Long. Mom. (in-lb)</t>
  </si>
  <si>
    <t>Tail/Side</t>
  </si>
  <si>
    <t>TH-57C</t>
  </si>
  <si>
    <t>HOGE-Q to DA (ft) by Gross Weight</t>
  </si>
  <si>
    <t>TH-57B</t>
  </si>
  <si>
    <t>Indicates heaviest of type aircraft.</t>
  </si>
  <si>
    <t xml:space="preserve">Indicates most FWD C/G of type. </t>
  </si>
  <si>
    <t>Landing Gross Weight CG Range:</t>
  </si>
  <si>
    <t>to:</t>
  </si>
  <si>
    <r>
      <t>Highest Gross Weight CG Range</t>
    </r>
    <r>
      <rPr>
        <sz val="8"/>
        <rFont val="Arial"/>
        <family val="2"/>
      </rPr>
      <t>:</t>
    </r>
  </si>
  <si>
    <t>Winds</t>
  </si>
  <si>
    <t>RWOP Wind Limits</t>
  </si>
  <si>
    <t>Category</t>
  </si>
  <si>
    <t>Steady</t>
  </si>
  <si>
    <t>Gust</t>
  </si>
  <si>
    <t>All others</t>
  </si>
  <si>
    <t>Solo?</t>
  </si>
  <si>
    <t>N</t>
  </si>
  <si>
    <t>Current</t>
  </si>
  <si>
    <t>Limit</t>
  </si>
  <si>
    <t>Contact</t>
  </si>
  <si>
    <t>Nav</t>
  </si>
  <si>
    <t>Solo</t>
  </si>
  <si>
    <t>NVG</t>
  </si>
  <si>
    <t>V</t>
  </si>
  <si>
    <t>Clds/Vis</t>
  </si>
  <si>
    <t>Number</t>
  </si>
  <si>
    <t>050 (162014)</t>
  </si>
  <si>
    <t>051 (162015)</t>
  </si>
  <si>
    <t>056 (162020)</t>
  </si>
  <si>
    <t>057 (162021)</t>
  </si>
  <si>
    <t>058 (162022)</t>
  </si>
  <si>
    <t>060 (162024)</t>
  </si>
  <si>
    <t>061 (162025)</t>
  </si>
  <si>
    <t>062 (162026)</t>
  </si>
  <si>
    <t>063 (162027)</t>
  </si>
  <si>
    <t>065 (162029)</t>
  </si>
  <si>
    <t>066 (162030)</t>
  </si>
  <si>
    <t>067 (162031)</t>
  </si>
  <si>
    <t>069 (162033)</t>
  </si>
  <si>
    <t>070 (162034)</t>
  </si>
  <si>
    <t>071 (162035)</t>
  </si>
  <si>
    <t>072 (162036)</t>
  </si>
  <si>
    <t>074 (162038)</t>
  </si>
  <si>
    <t>075 (162039)</t>
  </si>
  <si>
    <t>076 (162040)</t>
  </si>
  <si>
    <t>077 (162041)</t>
  </si>
  <si>
    <t>078 (162042)</t>
  </si>
  <si>
    <t>079 (162043)</t>
  </si>
  <si>
    <t>080 (162044)</t>
  </si>
  <si>
    <t>082 (162046)</t>
  </si>
  <si>
    <t>083 (162047)</t>
  </si>
  <si>
    <t>084 (162048)</t>
  </si>
  <si>
    <t>085 (162049)</t>
  </si>
  <si>
    <t>086 (162050)</t>
  </si>
  <si>
    <t>087 (162051)</t>
  </si>
  <si>
    <t>088 (162052)</t>
  </si>
  <si>
    <t>089 (162053)</t>
  </si>
  <si>
    <t>090 (162054)</t>
  </si>
  <si>
    <t>093 (162057)</t>
  </si>
  <si>
    <t>094 (162058)</t>
  </si>
  <si>
    <t>095 (162059)</t>
  </si>
  <si>
    <t>096 (162060)</t>
  </si>
  <si>
    <t>097 (162061)</t>
  </si>
  <si>
    <t>098 (162062)</t>
  </si>
  <si>
    <t>099 (162063)</t>
  </si>
  <si>
    <t>100 (162064)</t>
  </si>
  <si>
    <t>101 (162065)</t>
  </si>
  <si>
    <t>102 (162066)</t>
  </si>
  <si>
    <t>103 (162067)</t>
  </si>
  <si>
    <t>104 (162666)</t>
  </si>
  <si>
    <t>106 (162668)</t>
  </si>
  <si>
    <t>107 (162669)</t>
  </si>
  <si>
    <t>108 (162670)</t>
  </si>
  <si>
    <t>109 (162671)</t>
  </si>
  <si>
    <t>110 (162672)</t>
  </si>
  <si>
    <t>112 (162674)</t>
  </si>
  <si>
    <t>113 (162675)</t>
  </si>
  <si>
    <t>114 (162676)</t>
  </si>
  <si>
    <t>115 (162677)</t>
  </si>
  <si>
    <t>116 (162678)</t>
  </si>
  <si>
    <t>117 (162679)</t>
  </si>
  <si>
    <t>118 (162680)</t>
  </si>
  <si>
    <t>120 (162682)</t>
  </si>
  <si>
    <t>121 (162683)</t>
  </si>
  <si>
    <t>122 (162684)</t>
  </si>
  <si>
    <t>125 (162811)</t>
  </si>
  <si>
    <t>126 (162812)</t>
  </si>
  <si>
    <t>128 (162814)</t>
  </si>
  <si>
    <t>129 (162815)</t>
  </si>
  <si>
    <t>130 (162816)</t>
  </si>
  <si>
    <t>131 (162817)</t>
  </si>
  <si>
    <t>133 (162819)</t>
  </si>
  <si>
    <t>134 (162820)</t>
  </si>
  <si>
    <t>135 (162821)</t>
  </si>
  <si>
    <t>136 (162822)</t>
  </si>
  <si>
    <t>137 (162823)</t>
  </si>
  <si>
    <t>140 (161696)</t>
  </si>
  <si>
    <t>141 (161697)</t>
  </si>
  <si>
    <t>142 (161698)</t>
  </si>
  <si>
    <t>143 (161699)</t>
  </si>
  <si>
    <t>144 (161700)</t>
  </si>
  <si>
    <t>146 (161695)</t>
  </si>
  <si>
    <t>147 (162803)</t>
  </si>
  <si>
    <t>148 (162804)</t>
  </si>
  <si>
    <t>149 (162805)</t>
  </si>
  <si>
    <t>150 (162806)</t>
  </si>
  <si>
    <t>153 (162809)</t>
  </si>
  <si>
    <t>154 (162810)</t>
  </si>
  <si>
    <t>155 (163312)</t>
  </si>
  <si>
    <t>157 (163314)</t>
  </si>
  <si>
    <t>158 (163315)</t>
  </si>
  <si>
    <t>159 (163316)</t>
  </si>
  <si>
    <t>160 (163317)</t>
  </si>
  <si>
    <t>161 (163318)</t>
  </si>
  <si>
    <t>162 (163319)</t>
  </si>
  <si>
    <t>164 (163321)</t>
  </si>
  <si>
    <t>165 (163322)</t>
  </si>
  <si>
    <t>166 (163323)</t>
  </si>
  <si>
    <t>167 (163324)</t>
  </si>
  <si>
    <t>168 (163325)</t>
  </si>
  <si>
    <t>171 (163328)</t>
  </si>
  <si>
    <t>173 (163330)</t>
  </si>
  <si>
    <t>174 (163331)</t>
  </si>
  <si>
    <t>176 (163333)</t>
  </si>
  <si>
    <t>181 (163338)</t>
  </si>
  <si>
    <t>182 (163339)</t>
  </si>
  <si>
    <t>183 (163340)</t>
  </si>
  <si>
    <t>184 (163341)</t>
  </si>
  <si>
    <t>186 (163343)</t>
  </si>
  <si>
    <t>187 (163344)</t>
  </si>
  <si>
    <t>188 (163345)</t>
  </si>
  <si>
    <t>189 (163346)</t>
  </si>
  <si>
    <t>190 (163347)</t>
  </si>
  <si>
    <t>Auto Parameters</t>
  </si>
  <si>
    <t>DA &lt; 2500</t>
  </si>
  <si>
    <t>Winds &lt; 5</t>
  </si>
  <si>
    <t>if</t>
  </si>
  <si>
    <t>then</t>
  </si>
  <si>
    <t>DA &gt; 2500</t>
  </si>
  <si>
    <t>Power off</t>
  </si>
  <si>
    <t>if DA &gt; 1800</t>
  </si>
  <si>
    <t>GW &lt; 2900 lbs</t>
  </si>
  <si>
    <t>Winds &gt; 5</t>
  </si>
  <si>
    <t>if DA &lt; 1800</t>
  </si>
  <si>
    <t>GW &gt; 2900 lbs</t>
  </si>
  <si>
    <t>GW</t>
  </si>
  <si>
    <t>Pwr Rec Autos?</t>
  </si>
  <si>
    <t>Cut Guns Hdgs?</t>
  </si>
  <si>
    <t>Full Autos?</t>
  </si>
  <si>
    <t>C Weight</t>
  </si>
  <si>
    <t>B Weight</t>
  </si>
  <si>
    <t xml:space="preserve">Indicates most AFT C/G of type. </t>
  </si>
  <si>
    <t>Temp</t>
  </si>
  <si>
    <t>`-250*x+31050</t>
  </si>
  <si>
    <t>FCS On (3200 to 2900 slope)</t>
  </si>
  <si>
    <t>FCS On (2450 to 2000 slope)</t>
  </si>
  <si>
    <t>FCS Off (3200 to 2350 slope)</t>
  </si>
  <si>
    <t>External (3350 to 3200 slope)</t>
  </si>
  <si>
    <t>External (3200 to 3350 slope)</t>
  </si>
  <si>
    <t>`-303.57142857*x+37017.8571</t>
  </si>
  <si>
    <t>`-272.72727273*x+33581.8182</t>
  </si>
  <si>
    <t>External Wt</t>
  </si>
  <si>
    <t>Ldg Wt</t>
  </si>
  <si>
    <t>Degrees</t>
  </si>
  <si>
    <t>NR</t>
  </si>
  <si>
    <t>Knots Permitted Steady</t>
  </si>
  <si>
    <t>Knots Permitted Gust</t>
  </si>
  <si>
    <t>Knots Actual Steady</t>
  </si>
  <si>
    <t>Knots Actual Gust</t>
  </si>
  <si>
    <t xml:space="preserve"> lbs WITHOUT passengers</t>
  </si>
  <si>
    <t>Updated:</t>
  </si>
  <si>
    <t>Heaviest</t>
  </si>
  <si>
    <t>Most FWD</t>
  </si>
  <si>
    <t>Most AFT</t>
  </si>
  <si>
    <t>A/C NUM:</t>
  </si>
  <si>
    <t>PIC</t>
  </si>
  <si>
    <t>SNA/SNA/IP/AIRCREW</t>
  </si>
  <si>
    <t>SLEEP</t>
  </si>
  <si>
    <r>
      <rPr>
        <b/>
        <sz val="6"/>
        <rFont val="Arial"/>
        <family val="2"/>
      </rPr>
      <t>PERSONNAL RISK ASSESSMENT/HUMAN FACTORS</t>
    </r>
    <r>
      <rPr>
        <sz val="6"/>
        <rFont val="Arial"/>
        <family val="2"/>
      </rPr>
      <t xml:space="preserve">
(WORK DISTRACTIONS/ILLNESS/ETC…)</t>
    </r>
  </si>
  <si>
    <t>LOW</t>
  </si>
  <si>
    <t>MEDIUM</t>
  </si>
  <si>
    <t>HIGH</t>
  </si>
  <si>
    <t>WEATHER</t>
  </si>
  <si>
    <t>SIGMET (PROBABLE ENTRY?)</t>
  </si>
  <si>
    <t>CEILING</t>
  </si>
  <si>
    <t>VISIBILITY</t>
  </si>
  <si>
    <t>CEILINGS/VISIBILITY</t>
  </si>
  <si>
    <t xml:space="preserve">VMC
&lt;1000, &lt;3 SM
&lt;INST MINS </t>
  </si>
  <si>
    <t xml:space="preserve">WINDS </t>
  </si>
  <si>
    <t>&gt;5KTS BELOW RWOP LIMITS
&lt;5 KNOTS BELOW RWOP LIMITS
&gt; RWOP LIMITS</t>
  </si>
  <si>
    <t>STEADY</t>
  </si>
  <si>
    <t>GUST</t>
  </si>
  <si>
    <t>NIGHT FLIGHT</t>
  </si>
  <si>
    <t>ILLUMINATION</t>
  </si>
  <si>
    <t>CREW PROFICIENCY FOR ASSIGNED EVENTS (IP ONLY)</t>
  </si>
  <si>
    <t>IP/AIRCREW</t>
  </si>
  <si>
    <t>PRESSURE TO COMPLETE THE MISSION</t>
  </si>
  <si>
    <t>HAZARDS TYPES</t>
  </si>
  <si>
    <t>MITIGATED RISK LEVEL</t>
  </si>
  <si>
    <t>HELLION</t>
  </si>
  <si>
    <t>"Get Lucky"</t>
  </si>
  <si>
    <t>OPERATIONAL RISK MANAGEMENT WORKSHEET</t>
  </si>
  <si>
    <t>IP/Duty Officer Signature_________________________</t>
  </si>
  <si>
    <t>HIGHEST RISKS</t>
  </si>
  <si>
    <t>ASSOCIATED CONTROLS</t>
  </si>
  <si>
    <t>*THREE OR MORE MEDIUMS PER EVENT REQUIRES SAFETY/STAN REP OR ODO APPROVAL. A HIGH ASSESSMENT REQURIES CO APPROVAL (NO APPROVAL IF CO UNAVAILABLE).</t>
  </si>
  <si>
    <t>*</t>
  </si>
  <si>
    <t>NO</t>
  </si>
  <si>
    <t>T/M/S</t>
  </si>
  <si>
    <t>Tail/Side     Number</t>
  </si>
  <si>
    <t xml:space="preserve"> * Heaviest A/C</t>
  </si>
  <si>
    <t xml:space="preserve"> ** Most Forward CG</t>
  </si>
  <si>
    <t>**</t>
  </si>
  <si>
    <t>Tail/Side           Number</t>
  </si>
  <si>
    <t>TH-73A</t>
  </si>
  <si>
    <t>610 (170138)</t>
  </si>
  <si>
    <t>611 (170139)</t>
  </si>
  <si>
    <t>612 (170140)</t>
  </si>
  <si>
    <t>613 (170141)</t>
  </si>
  <si>
    <t>++</t>
  </si>
  <si>
    <t>+++</t>
  </si>
  <si>
    <t>Fuel Quantity (gals)</t>
  </si>
  <si>
    <t>Fuel Weight (lbs)</t>
  </si>
  <si>
    <t>Fuel additional moment to CG</t>
  </si>
  <si>
    <t>HIGH LIGHT</t>
  </si>
  <si>
    <t>+++ = Most Aft C/G</t>
  </si>
  <si>
    <t>Updated 17 OCT 23</t>
  </si>
  <si>
    <t>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</si>
</sst>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 d\,\ yyyy;@"/>
    <numFmt numFmtId="165" formatCode="[$-409]mmm\-yy;@"/>
  </numFmts>
  <fonts count="32" x14ac:knownFonts="1">
    <font>
      <sz val="10"/>
      <name val="Arial"/>
    </font>
    <font>
      <sz val="11"/>
      <color theme="1"/>
      <name val="Calibri"/>
      <family val="2"/>
      <scheme val="minor"/>
    </font>
    <font>
      <b/>
      <sz val="14"/>
      <name val="Arial"/>
      <family val="2"/>
    </font>
    <font>
      <sz val="9"/>
      <name val="Arial"/>
      <family val="2"/>
    </font>
    <font>
      <b/>
      <u/>
      <sz val="10"/>
      <name val="Arial"/>
      <family val="2"/>
    </font>
    <font>
      <sz val="8"/>
      <name val="Arial"/>
      <family val="2"/>
    </font>
    <font>
      <b/>
      <sz val="8"/>
      <name val="Arial"/>
      <family val="2"/>
    </font>
    <font>
      <i/>
      <sz val="8"/>
      <name val="Arial"/>
      <family val="2"/>
    </font>
    <font>
      <sz val="6"/>
      <name val="Arial"/>
      <family val="2"/>
    </font>
    <font>
      <sz val="10"/>
      <name val="Arial Unicode MS"/>
      <family val="2"/>
    </font>
    <font>
      <sz val="10"/>
      <name val="Arial"/>
      <family val="2"/>
    </font>
    <font>
      <b/>
      <sz val="10"/>
      <name val="Arial"/>
      <family val="2"/>
    </font>
    <font>
      <sz val="8"/>
      <color theme="0"/>
      <name val="Arial"/>
      <family val="2"/>
    </font>
    <font>
      <b/>
      <sz val="10"/>
      <color rgb="FFFF0000"/>
      <name val="Arial"/>
      <family val="2"/>
    </font>
    <font>
      <sz val="9"/>
      <color indexed="81"/>
      <name val="Tahoma"/>
      <family val="2"/>
    </font>
    <font>
      <b/>
      <sz val="9"/>
      <color indexed="81"/>
      <name val="Tahoma"/>
      <family val="2"/>
    </font>
    <font>
      <sz val="9"/>
      <color rgb="FF000000"/>
      <name val="Times New Roman"/>
      <family val="1"/>
    </font>
    <font>
      <sz val="8"/>
      <color rgb="FF000000"/>
      <name val="Times New Roman"/>
      <family val="1"/>
    </font>
    <font>
      <sz val="10"/>
      <name val="Arial Unicode MS"/>
      <family val="2"/>
    </font>
    <font>
      <b/>
      <sz val="11"/>
      <color rgb="FFFA7D00"/>
      <name val="Calibri"/>
      <family val="2"/>
      <scheme val="minor"/>
    </font>
    <font>
      <b/>
      <u/>
      <sz val="9"/>
      <name val="Arial"/>
      <family val="2"/>
    </font>
    <font>
      <b/>
      <i/>
      <sz val="8"/>
      <name val="Arial"/>
      <family val="2"/>
    </font>
    <font>
      <b/>
      <u/>
      <sz val="8"/>
      <name val="Arial"/>
      <family val="2"/>
    </font>
    <font>
      <b/>
      <sz val="6"/>
      <name val="Arial"/>
      <family val="2"/>
    </font>
    <font>
      <u/>
      <sz val="6"/>
      <name val="Arial"/>
      <family val="2"/>
    </font>
    <font>
      <b/>
      <sz val="8"/>
      <color theme="0"/>
      <name val="Arial"/>
      <family val="2"/>
    </font>
    <font>
      <i/>
      <sz val="10"/>
      <name val="Arial"/>
      <family val="2"/>
    </font>
    <font>
      <b/>
      <sz val="11"/>
      <color theme="1"/>
      <name val="Calibri"/>
      <family val="2"/>
      <scheme val="minor"/>
    </font>
    <font>
      <b/>
      <sz val="9"/>
      <color rgb="FF000000"/>
      <name val="Times New Roman"/>
      <family val="1"/>
    </font>
    <font>
      <b/>
      <sz val="10"/>
      <color theme="1"/>
      <name val="Calibri"/>
      <family val="2"/>
      <scheme val="minor"/>
    </font>
    <font>
      <sz val="11"/>
      <color theme="0"/>
      <name val="Calibri"/>
      <family val="2"/>
      <scheme val="minor"/>
    </font>
    <font>
      <sz val="8"/>
      <color theme="0"/>
      <name val="Times New Roman"/>
      <family val="1"/>
    </font>
  </fonts>
  <fills count="12">
    <fill>
      <patternFill patternType="none"/>
    </fill>
    <fill>
      <patternFill patternType="gray125"/>
    </fill>
    <fill>
      <patternFill patternType="solid">
        <fgColor indexed="58"/>
        <bgColor indexed="64"/>
      </patternFill>
    </fill>
    <fill>
      <patternFill patternType="solid">
        <fgColor theme="7" tint="0.79998168889431442"/>
        <bgColor indexed="64"/>
      </patternFill>
    </fill>
    <fill>
      <patternFill patternType="solid">
        <fgColor rgb="FFD3D3D3"/>
        <bgColor indexed="64"/>
      </patternFill>
    </fill>
    <fill>
      <patternFill patternType="solid">
        <fgColor theme="1"/>
        <bgColor indexed="64"/>
      </patternFill>
    </fill>
    <fill>
      <patternFill patternType="solid">
        <fgColor rgb="FFF2F2F2"/>
      </patternFill>
    </fill>
    <fill>
      <patternFill patternType="solid">
        <fgColor rgb="FFFFFF99"/>
        <bgColor indexed="64"/>
      </patternFill>
    </fill>
    <fill>
      <patternFill patternType="solid">
        <fgColor rgb="FFFF0000"/>
        <bgColor indexed="64"/>
      </patternFill>
    </fill>
    <fill>
      <patternFill patternType="solid">
        <fgColor rgb="FFFA9106"/>
        <bgColor indexed="64"/>
      </patternFill>
    </fill>
    <fill>
      <patternFill patternType="solid">
        <fgColor rgb="FF00B0F0"/>
        <bgColor indexed="64"/>
      </patternFill>
    </fill>
    <fill>
      <patternFill patternType="solid">
        <fgColor theme="0"/>
        <bgColor indexed="64"/>
      </patternFill>
    </fill>
  </fills>
  <borders count="67">
    <border>
      <left/>
      <right/>
      <top/>
      <bottom/>
      <diagonal/>
    </border>
    <border>
      <left style="double">
        <color indexed="64"/>
      </left>
      <right style="double">
        <color indexed="64"/>
      </right>
      <top/>
      <bottom/>
      <diagonal/>
    </border>
    <border>
      <left/>
      <right/>
      <top/>
      <bottom style="thin">
        <color indexed="64"/>
      </bottom>
      <diagonal/>
    </border>
    <border>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diagonalUp="1" diagonalDown="1">
      <left style="double">
        <color indexed="64"/>
      </left>
      <right/>
      <top/>
      <bottom/>
      <diagonal style="thin">
        <color indexed="64"/>
      </diagonal>
    </border>
    <border diagonalUp="1" diagonalDown="1">
      <left/>
      <right style="double">
        <color indexed="64"/>
      </right>
      <top/>
      <bottom/>
      <diagonal style="thin">
        <color indexed="64"/>
      </diagonal>
    </border>
    <border diagonalUp="1" diagonalDown="1">
      <left style="double">
        <color indexed="64"/>
      </left>
      <right/>
      <top/>
      <bottom style="double">
        <color indexed="64"/>
      </bottom>
      <diagonal style="thin">
        <color indexed="64"/>
      </diagonal>
    </border>
    <border diagonalUp="1" diagonalDown="1">
      <left/>
      <right style="double">
        <color indexed="64"/>
      </right>
      <top/>
      <bottom style="double">
        <color indexed="64"/>
      </bottom>
      <diagonal style="thin">
        <color indexed="64"/>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thin">
        <color indexed="64"/>
      </top>
      <bottom style="double">
        <color indexed="64"/>
      </bottom>
      <diagonal/>
    </border>
    <border>
      <left/>
      <right/>
      <top style="double">
        <color indexed="64"/>
      </top>
      <bottom/>
      <diagonal/>
    </border>
    <border>
      <left/>
      <right/>
      <top/>
      <bottom style="double">
        <color indexed="64"/>
      </bottom>
      <diagonal/>
    </border>
    <border diagonalUp="1" diagonalDown="1">
      <left/>
      <right/>
      <top/>
      <bottom/>
      <diagonal style="thin">
        <color indexed="64"/>
      </diagonal>
    </border>
    <border diagonalUp="1" diagonalDown="1">
      <left/>
      <right/>
      <top/>
      <bottom style="double">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D3D3D3"/>
      </left>
      <right style="medium">
        <color rgb="FFD3D3D3"/>
      </right>
      <top style="medium">
        <color rgb="FFD3D3D3"/>
      </top>
      <bottom/>
      <diagonal/>
    </border>
    <border>
      <left style="medium">
        <color rgb="FFD3D3D3"/>
      </left>
      <right style="medium">
        <color rgb="FFD3D3D3"/>
      </right>
      <top/>
      <bottom style="medium">
        <color rgb="FFD3D3D3"/>
      </bottom>
      <diagonal/>
    </border>
    <border>
      <left/>
      <right style="medium">
        <color rgb="FFD3D3D3"/>
      </right>
      <top style="medium">
        <color rgb="FFD3D3D3"/>
      </top>
      <bottom/>
      <diagonal/>
    </border>
    <border>
      <left/>
      <right style="medium">
        <color rgb="FFD3D3D3"/>
      </right>
      <top/>
      <bottom style="medium">
        <color rgb="FFD3D3D3"/>
      </bottom>
      <diagonal/>
    </border>
    <border>
      <left style="thin">
        <color rgb="FF7F7F7F"/>
      </left>
      <right style="thin">
        <color rgb="FF7F7F7F"/>
      </right>
      <top style="thin">
        <color rgb="FF7F7F7F"/>
      </top>
      <bottom style="thin">
        <color rgb="FF7F7F7F"/>
      </bottom>
      <diagonal/>
    </border>
    <border>
      <left style="medium">
        <color rgb="FFD3D3D3"/>
      </left>
      <right style="medium">
        <color rgb="FFD3D3D3"/>
      </right>
      <top style="medium">
        <color rgb="FFD3D3D3"/>
      </top>
      <bottom style="medium">
        <color rgb="FFD3D3D3"/>
      </bottom>
      <diagonal/>
    </border>
    <border>
      <left/>
      <right style="medium">
        <color rgb="FFD3D3D3"/>
      </right>
      <top style="medium">
        <color rgb="FFD3D3D3"/>
      </top>
      <bottom style="medium">
        <color rgb="FFD3D3D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9" fillId="6" borderId="44" applyNumberFormat="0" applyAlignment="0" applyProtection="0"/>
    <xf numFmtId="0" fontId="10" fillId="0" borderId="0"/>
    <xf numFmtId="0" fontId="1" fillId="0" borderId="0"/>
  </cellStyleXfs>
  <cellXfs count="347">
    <xf numFmtId="0" fontId="0" fillId="0" borderId="0" xfId="0"/>
    <xf numFmtId="0" fontId="3" fillId="0" borderId="0" xfId="0" applyFont="1" applyAlignment="1">
      <alignment horizontal="left" vertical="top"/>
    </xf>
    <xf numFmtId="0" fontId="3" fillId="0" borderId="0" xfId="0" applyFont="1" applyAlignment="1">
      <alignment horizontal="right" vertical="top"/>
    </xf>
    <xf numFmtId="0" fontId="5" fillId="0" borderId="0" xfId="0" applyFont="1" applyAlignment="1">
      <alignment horizontal="right"/>
    </xf>
    <xf numFmtId="0" fontId="5" fillId="0" borderId="0" xfId="0" applyFont="1"/>
    <xf numFmtId="0" fontId="6" fillId="0" borderId="0" xfId="0" applyFont="1" applyAlignment="1">
      <alignment horizontal="center"/>
    </xf>
    <xf numFmtId="0" fontId="5" fillId="0" borderId="0" xfId="0" applyFont="1" applyAlignment="1">
      <alignment horizontal="right" vertical="top"/>
    </xf>
    <xf numFmtId="0" fontId="5" fillId="0" borderId="2" xfId="0" applyFont="1" applyBorder="1"/>
    <xf numFmtId="0" fontId="5" fillId="0" borderId="3" xfId="0" applyFont="1" applyBorder="1"/>
    <xf numFmtId="0" fontId="5" fillId="0" borderId="1" xfId="0" applyFont="1" applyBorder="1" applyAlignment="1">
      <alignment horizontal="center"/>
    </xf>
    <xf numFmtId="0" fontId="5" fillId="0" borderId="4" xfId="0" applyFont="1" applyBorder="1"/>
    <xf numFmtId="49" fontId="5" fillId="0" borderId="0" xfId="0" applyNumberFormat="1" applyFont="1" applyAlignment="1">
      <alignment horizontal="right"/>
    </xf>
    <xf numFmtId="49" fontId="5" fillId="0" borderId="5" xfId="0" applyNumberFormat="1" applyFont="1" applyBorder="1" applyAlignment="1">
      <alignment horizontal="left"/>
    </xf>
    <xf numFmtId="49" fontId="5" fillId="0" borderId="0" xfId="0" applyNumberFormat="1" applyFont="1"/>
    <xf numFmtId="0" fontId="5" fillId="0" borderId="6" xfId="0" applyFont="1" applyBorder="1"/>
    <xf numFmtId="0" fontId="5" fillId="0" borderId="7" xfId="0" applyFont="1" applyBorder="1"/>
    <xf numFmtId="49" fontId="5" fillId="0" borderId="7" xfId="0" applyNumberFormat="1" applyFont="1" applyBorder="1" applyAlignment="1">
      <alignment horizontal="center"/>
    </xf>
    <xf numFmtId="0" fontId="5" fillId="0" borderId="1" xfId="0" applyFont="1" applyBorder="1"/>
    <xf numFmtId="49" fontId="5" fillId="0" borderId="7" xfId="0" applyNumberFormat="1" applyFont="1" applyBorder="1"/>
    <xf numFmtId="0" fontId="5" fillId="0" borderId="2" xfId="0" applyFont="1" applyBorder="1" applyAlignment="1">
      <alignment horizontal="center"/>
    </xf>
    <xf numFmtId="0" fontId="8" fillId="0" borderId="0" xfId="0" applyFont="1" applyAlignment="1">
      <alignment horizontal="right"/>
    </xf>
    <xf numFmtId="0" fontId="8" fillId="0" borderId="0" xfId="0" applyFont="1" applyAlignment="1">
      <alignment horizontal="left"/>
    </xf>
    <xf numFmtId="0" fontId="6" fillId="0" borderId="2" xfId="0" applyFont="1" applyBorder="1" applyAlignment="1">
      <alignment horizontal="center"/>
    </xf>
    <xf numFmtId="0" fontId="5" fillId="0" borderId="5" xfId="0" applyFont="1" applyBorder="1"/>
    <xf numFmtId="0" fontId="5" fillId="0" borderId="2" xfId="0" applyFont="1" applyBorder="1" applyAlignment="1">
      <alignment horizontal="right"/>
    </xf>
    <xf numFmtId="0" fontId="5" fillId="0" borderId="17" xfId="0" applyFont="1" applyBorder="1" applyAlignment="1">
      <alignment horizontal="center"/>
    </xf>
    <xf numFmtId="0" fontId="5" fillId="0" borderId="0" xfId="0" applyFont="1" applyAlignment="1">
      <alignment horizontal="center"/>
    </xf>
    <xf numFmtId="0" fontId="2" fillId="0" borderId="0" xfId="0" applyFont="1" applyAlignment="1">
      <alignment horizontal="center"/>
    </xf>
    <xf numFmtId="49" fontId="0" fillId="0" borderId="0" xfId="0" applyNumberFormat="1"/>
    <xf numFmtId="0" fontId="9" fillId="0" borderId="0" xfId="0" applyFont="1" applyAlignment="1">
      <alignment vertical="center"/>
    </xf>
    <xf numFmtId="49" fontId="10" fillId="0" borderId="0" xfId="0" applyNumberFormat="1" applyFont="1"/>
    <xf numFmtId="0" fontId="10" fillId="0" borderId="0" xfId="0" applyFont="1"/>
    <xf numFmtId="0" fontId="5" fillId="0" borderId="5" xfId="0" applyFont="1" applyBorder="1" applyAlignment="1">
      <alignment horizontal="center"/>
    </xf>
    <xf numFmtId="0" fontId="5" fillId="0" borderId="19" xfId="0" applyFont="1" applyBorder="1" applyAlignment="1">
      <alignment horizontal="center"/>
    </xf>
    <xf numFmtId="0" fontId="5" fillId="0" borderId="4" xfId="0" applyFont="1" applyBorder="1" applyAlignment="1">
      <alignment horizontal="center"/>
    </xf>
    <xf numFmtId="0" fontId="5" fillId="0" borderId="9" xfId="0" applyFont="1" applyBorder="1" applyAlignment="1">
      <alignment horizontal="center"/>
    </xf>
    <xf numFmtId="0" fontId="5" fillId="0" borderId="6" xfId="0" applyFont="1" applyBorder="1" applyAlignment="1">
      <alignment horizontal="center"/>
    </xf>
    <xf numFmtId="0" fontId="5" fillId="0" borderId="15" xfId="0" applyFont="1" applyBorder="1" applyAlignment="1">
      <alignment horizontal="center"/>
    </xf>
    <xf numFmtId="0" fontId="5" fillId="0" borderId="7" xfId="0" applyFont="1" applyBorder="1" applyAlignment="1">
      <alignment horizontal="center"/>
    </xf>
    <xf numFmtId="0" fontId="5" fillId="0" borderId="15" xfId="0" applyFont="1" applyBorder="1" applyAlignment="1">
      <alignment horizontal="center"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0" fillId="0" borderId="0" xfId="0" applyAlignment="1">
      <alignment horizontal="center"/>
    </xf>
    <xf numFmtId="0" fontId="10" fillId="0" borderId="0" xfId="0" applyFont="1" applyAlignment="1">
      <alignment horizontal="center"/>
    </xf>
    <xf numFmtId="0" fontId="0" fillId="0" borderId="33" xfId="0" applyBorder="1"/>
    <xf numFmtId="0" fontId="11" fillId="0" borderId="32" xfId="0" applyFont="1" applyBorder="1"/>
    <xf numFmtId="0" fontId="11" fillId="0" borderId="0" xfId="0" applyFont="1"/>
    <xf numFmtId="0" fontId="0" fillId="0" borderId="32" xfId="0" applyBorder="1"/>
    <xf numFmtId="0" fontId="0" fillId="0" borderId="34" xfId="0" applyBorder="1"/>
    <xf numFmtId="0" fontId="0" fillId="0" borderId="35" xfId="0" applyBorder="1"/>
    <xf numFmtId="0" fontId="0" fillId="0" borderId="36" xfId="0" applyBorder="1"/>
    <xf numFmtId="0" fontId="11" fillId="0" borderId="32" xfId="0" applyFont="1" applyBorder="1" applyAlignment="1">
      <alignment horizontal="center"/>
    </xf>
    <xf numFmtId="0" fontId="11" fillId="0" borderId="0" xfId="0" applyFont="1" applyAlignment="1">
      <alignment horizontal="center"/>
    </xf>
    <xf numFmtId="0" fontId="10" fillId="0" borderId="33" xfId="0" applyFont="1" applyBorder="1"/>
    <xf numFmtId="0" fontId="0" fillId="0" borderId="29" xfId="0" applyBorder="1"/>
    <xf numFmtId="0" fontId="0" fillId="0" borderId="31" xfId="0" applyBorder="1"/>
    <xf numFmtId="11" fontId="0" fillId="0" borderId="36" xfId="0" applyNumberFormat="1" applyBorder="1"/>
    <xf numFmtId="0" fontId="5" fillId="0" borderId="1" xfId="0" applyFont="1" applyBorder="1" applyAlignment="1">
      <alignment horizontal="center" vertical="center"/>
    </xf>
    <xf numFmtId="0" fontId="10" fillId="0" borderId="32" xfId="0" applyFont="1" applyBorder="1"/>
    <xf numFmtId="164" fontId="5" fillId="0" borderId="2" xfId="0" applyNumberFormat="1" applyFont="1" applyBorder="1" applyAlignment="1">
      <alignment shrinkToFit="1"/>
    </xf>
    <xf numFmtId="0" fontId="12" fillId="0" borderId="0" xfId="0" applyFont="1"/>
    <xf numFmtId="0" fontId="5" fillId="3" borderId="2" xfId="0" applyFont="1" applyFill="1" applyBorder="1" applyProtection="1">
      <protection locked="0"/>
    </xf>
    <xf numFmtId="0" fontId="5" fillId="3" borderId="3" xfId="0" applyFont="1" applyFill="1" applyBorder="1" applyProtection="1">
      <protection locked="0"/>
    </xf>
    <xf numFmtId="0" fontId="5" fillId="3" borderId="0" xfId="0" applyFont="1" applyFill="1" applyAlignment="1" applyProtection="1">
      <alignment horizontal="center"/>
      <protection locked="0"/>
    </xf>
    <xf numFmtId="0" fontId="5" fillId="3" borderId="3" xfId="0" applyFont="1" applyFill="1" applyBorder="1" applyAlignment="1" applyProtection="1">
      <alignment horizontal="center"/>
      <protection locked="0"/>
    </xf>
    <xf numFmtId="0" fontId="6" fillId="3" borderId="2" xfId="0" applyFont="1" applyFill="1" applyBorder="1" applyAlignment="1" applyProtection="1">
      <alignment horizontal="center"/>
      <protection locked="0"/>
    </xf>
    <xf numFmtId="0" fontId="13" fillId="3" borderId="0" xfId="0" applyFont="1" applyFill="1" applyAlignment="1" applyProtection="1">
      <alignment horizontal="center"/>
      <protection locked="0"/>
    </xf>
    <xf numFmtId="49" fontId="6" fillId="3" borderId="0" xfId="0" applyNumberFormat="1" applyFont="1" applyFill="1" applyAlignment="1" applyProtection="1">
      <alignment horizontal="right"/>
      <protection locked="0"/>
    </xf>
    <xf numFmtId="0" fontId="0" fillId="0" borderId="30" xfId="0" applyBorder="1"/>
    <xf numFmtId="0" fontId="0" fillId="0" borderId="37" xfId="0" applyBorder="1"/>
    <xf numFmtId="0" fontId="0" fillId="0" borderId="38" xfId="0" applyBorder="1"/>
    <xf numFmtId="0" fontId="0" fillId="0" borderId="39" xfId="0" applyBorder="1"/>
    <xf numFmtId="0" fontId="10" fillId="0" borderId="37" xfId="0" applyFont="1" applyBorder="1"/>
    <xf numFmtId="0" fontId="10" fillId="0" borderId="38" xfId="0" applyFont="1" applyBorder="1"/>
    <xf numFmtId="0" fontId="16" fillId="4" borderId="42" xfId="0" applyFont="1" applyFill="1" applyBorder="1" applyAlignment="1">
      <alignment vertical="center" wrapText="1"/>
    </xf>
    <xf numFmtId="0" fontId="17" fillId="0" borderId="41" xfId="0" applyFont="1" applyBorder="1" applyAlignment="1">
      <alignment horizontal="justify" vertical="center" wrapText="1"/>
    </xf>
    <xf numFmtId="0" fontId="17" fillId="0" borderId="43" xfId="0" applyFont="1" applyBorder="1" applyAlignment="1">
      <alignment vertical="center" wrapText="1"/>
    </xf>
    <xf numFmtId="4" fontId="17" fillId="0" borderId="43" xfId="0" applyNumberFormat="1" applyFont="1" applyBorder="1" applyAlignment="1">
      <alignment horizontal="right" vertical="center" wrapText="1"/>
    </xf>
    <xf numFmtId="0" fontId="17" fillId="0" borderId="43" xfId="0" applyFont="1" applyBorder="1" applyAlignment="1">
      <alignment horizontal="right" vertical="center" wrapText="1"/>
    </xf>
    <xf numFmtId="0" fontId="17" fillId="0" borderId="43" xfId="0" applyFont="1" applyBorder="1" applyAlignment="1">
      <alignment horizontal="justify" vertical="center" wrapText="1"/>
    </xf>
    <xf numFmtId="0" fontId="16" fillId="4" borderId="40" xfId="0" applyFont="1" applyFill="1" applyBorder="1" applyAlignment="1">
      <alignment vertical="center" wrapText="1"/>
    </xf>
    <xf numFmtId="0" fontId="18" fillId="0" borderId="0" xfId="0" applyFont="1" applyAlignment="1">
      <alignment vertical="center"/>
    </xf>
    <xf numFmtId="49" fontId="18" fillId="0" borderId="0" xfId="0" applyNumberFormat="1" applyFont="1" applyAlignment="1">
      <alignment vertical="center"/>
    </xf>
    <xf numFmtId="0" fontId="16" fillId="4" borderId="0" xfId="0" applyFont="1" applyFill="1" applyAlignment="1">
      <alignment vertical="center" wrapText="1"/>
    </xf>
    <xf numFmtId="0" fontId="0" fillId="5" borderId="0" xfId="0" applyFill="1"/>
    <xf numFmtId="0" fontId="19" fillId="6" borderId="44" xfId="1" applyAlignment="1">
      <alignment horizontal="center"/>
    </xf>
    <xf numFmtId="0" fontId="19" fillId="6" borderId="44" xfId="1"/>
    <xf numFmtId="0" fontId="5" fillId="3" borderId="2" xfId="0" applyFont="1" applyFill="1" applyBorder="1" applyAlignment="1" applyProtection="1">
      <alignment shrinkToFit="1"/>
      <protection locked="0"/>
    </xf>
    <xf numFmtId="0" fontId="6" fillId="3" borderId="2" xfId="0" applyFont="1" applyFill="1" applyBorder="1" applyAlignment="1" applyProtection="1">
      <alignment shrinkToFit="1"/>
      <protection locked="0"/>
    </xf>
    <xf numFmtId="0" fontId="16" fillId="4" borderId="43" xfId="0" applyFont="1" applyFill="1" applyBorder="1" applyAlignment="1">
      <alignment vertical="center" wrapText="1"/>
    </xf>
    <xf numFmtId="0" fontId="17" fillId="0" borderId="46" xfId="0" applyFont="1" applyBorder="1" applyAlignment="1">
      <alignment horizontal="justify" vertical="center" wrapText="1"/>
    </xf>
    <xf numFmtId="0" fontId="10" fillId="0" borderId="0" xfId="2"/>
    <xf numFmtId="1" fontId="0" fillId="0" borderId="0" xfId="0" applyNumberFormat="1"/>
    <xf numFmtId="16" fontId="0" fillId="0" borderId="0" xfId="0" applyNumberFormat="1"/>
    <xf numFmtId="49" fontId="5" fillId="0" borderId="16" xfId="0" applyNumberFormat="1" applyFont="1" applyBorder="1"/>
    <xf numFmtId="0" fontId="5" fillId="0" borderId="22" xfId="0" applyFont="1" applyBorder="1"/>
    <xf numFmtId="0" fontId="5" fillId="0" borderId="29" xfId="0" applyFont="1" applyBorder="1"/>
    <xf numFmtId="0" fontId="5" fillId="0" borderId="30" xfId="0" applyFont="1" applyBorder="1"/>
    <xf numFmtId="0" fontId="5" fillId="0" borderId="31" xfId="0" applyFont="1" applyBorder="1"/>
    <xf numFmtId="0" fontId="5" fillId="0" borderId="34" xfId="0" applyFont="1" applyBorder="1"/>
    <xf numFmtId="49" fontId="9" fillId="0" borderId="0" xfId="0" applyNumberFormat="1" applyFont="1" applyAlignment="1">
      <alignment vertical="center"/>
    </xf>
    <xf numFmtId="0" fontId="10" fillId="0" borderId="29" xfId="0" applyFont="1" applyBorder="1"/>
    <xf numFmtId="15" fontId="8" fillId="0" borderId="0" xfId="0" applyNumberFormat="1" applyFont="1" applyAlignment="1">
      <alignment horizontal="left"/>
    </xf>
    <xf numFmtId="15" fontId="8" fillId="0" borderId="0" xfId="0" applyNumberFormat="1" applyFont="1" applyAlignment="1">
      <alignment horizontal="right"/>
    </xf>
    <xf numFmtId="0" fontId="6" fillId="0" borderId="29" xfId="0" applyFont="1" applyBorder="1"/>
    <xf numFmtId="0" fontId="22" fillId="0" borderId="31" xfId="0" applyFont="1" applyBorder="1" applyAlignment="1">
      <alignment horizontal="center"/>
    </xf>
    <xf numFmtId="0" fontId="21" fillId="10" borderId="32" xfId="0" applyFont="1" applyFill="1" applyBorder="1"/>
    <xf numFmtId="0" fontId="21" fillId="8" borderId="32" xfId="0" applyFont="1" applyFill="1" applyBorder="1"/>
    <xf numFmtId="0" fontId="21" fillId="9" borderId="34" xfId="0" applyFont="1" applyFill="1" applyBorder="1"/>
    <xf numFmtId="2" fontId="5" fillId="0" borderId="23" xfId="0" applyNumberFormat="1" applyFont="1" applyBorder="1" applyAlignment="1">
      <alignment horizontal="center" vertical="center"/>
    </xf>
    <xf numFmtId="2" fontId="5" fillId="0" borderId="6" xfId="0" applyNumberFormat="1" applyFont="1" applyBorder="1" applyAlignment="1">
      <alignment horizontal="center" vertical="center"/>
    </xf>
    <xf numFmtId="2" fontId="5" fillId="0" borderId="23" xfId="0" applyNumberFormat="1" applyFont="1" applyBorder="1" applyAlignment="1">
      <alignment horizontal="center"/>
    </xf>
    <xf numFmtId="2" fontId="5" fillId="0" borderId="6" xfId="0" applyNumberFormat="1" applyFont="1" applyBorder="1" applyAlignment="1">
      <alignment horizontal="center"/>
    </xf>
    <xf numFmtId="2" fontId="5" fillId="0" borderId="15" xfId="0" applyNumberFormat="1" applyFont="1" applyBorder="1" applyAlignment="1">
      <alignment horizontal="center"/>
    </xf>
    <xf numFmtId="2" fontId="5" fillId="0" borderId="7" xfId="0" applyNumberFormat="1" applyFont="1" applyBorder="1" applyAlignment="1">
      <alignment horizontal="center"/>
    </xf>
    <xf numFmtId="2" fontId="5" fillId="0" borderId="19" xfId="0" applyNumberFormat="1" applyFont="1" applyBorder="1" applyAlignment="1">
      <alignment horizontal="center"/>
    </xf>
    <xf numFmtId="2" fontId="5" fillId="0" borderId="4" xfId="0" applyNumberFormat="1" applyFont="1" applyBorder="1" applyAlignment="1">
      <alignment horizontal="center"/>
    </xf>
    <xf numFmtId="2" fontId="5" fillId="0" borderId="2" xfId="0" applyNumberFormat="1" applyFont="1" applyBorder="1" applyAlignment="1">
      <alignment horizontal="center"/>
    </xf>
    <xf numFmtId="0" fontId="22" fillId="0" borderId="49" xfId="0" applyFont="1" applyBorder="1" applyAlignment="1">
      <alignment horizontal="center"/>
    </xf>
    <xf numFmtId="0" fontId="21" fillId="10" borderId="50" xfId="0" applyFont="1" applyFill="1" applyBorder="1" applyAlignment="1">
      <alignment horizontal="center"/>
    </xf>
    <xf numFmtId="0" fontId="21" fillId="10" borderId="33" xfId="0" applyFont="1" applyFill="1" applyBorder="1" applyAlignment="1">
      <alignment horizontal="center"/>
    </xf>
    <xf numFmtId="0" fontId="21" fillId="8" borderId="50" xfId="0" applyFont="1" applyFill="1" applyBorder="1" applyAlignment="1">
      <alignment horizontal="center"/>
    </xf>
    <xf numFmtId="0" fontId="21" fillId="8" borderId="33" xfId="0" applyFont="1" applyFill="1" applyBorder="1" applyAlignment="1">
      <alignment horizontal="center"/>
    </xf>
    <xf numFmtId="0" fontId="21" fillId="9" borderId="51" xfId="0" applyFont="1" applyFill="1" applyBorder="1" applyAlignment="1">
      <alignment horizontal="center"/>
    </xf>
    <xf numFmtId="0" fontId="21" fillId="9" borderId="36" xfId="0" applyFont="1" applyFill="1" applyBorder="1" applyAlignment="1">
      <alignment horizontal="center"/>
    </xf>
    <xf numFmtId="0" fontId="0" fillId="0" borderId="0" xfId="0" applyAlignment="1">
      <alignment vertical="center"/>
    </xf>
    <xf numFmtId="0" fontId="8" fillId="0" borderId="3" xfId="0" applyFont="1" applyBorder="1"/>
    <xf numFmtId="0" fontId="0" fillId="0" borderId="52" xfId="0" applyBorder="1"/>
    <xf numFmtId="0" fontId="8" fillId="0" borderId="3" xfId="0" applyFont="1" applyBorder="1" applyAlignment="1">
      <alignment horizontal="center" vertical="center"/>
    </xf>
    <xf numFmtId="0" fontId="0" fillId="0" borderId="52" xfId="0" applyBorder="1" applyAlignment="1">
      <alignment vertical="center"/>
    </xf>
    <xf numFmtId="0" fontId="8" fillId="5" borderId="3" xfId="0" applyFont="1" applyFill="1" applyBorder="1"/>
    <xf numFmtId="0" fontId="24" fillId="0" borderId="32" xfId="0" applyFont="1" applyBorder="1" applyAlignment="1">
      <alignment horizontal="center" wrapText="1"/>
    </xf>
    <xf numFmtId="0" fontId="8" fillId="0" borderId="0" xfId="0" applyFont="1" applyAlignment="1">
      <alignment horizontal="center"/>
    </xf>
    <xf numFmtId="0" fontId="8" fillId="0" borderId="53" xfId="0" applyFont="1" applyBorder="1" applyAlignment="1">
      <alignment horizontal="left" vertical="center" wrapText="1"/>
    </xf>
    <xf numFmtId="0" fontId="24" fillId="0" borderId="32" xfId="0" applyFont="1" applyBorder="1" applyAlignment="1">
      <alignment horizontal="left" vertical="center" wrapText="1"/>
    </xf>
    <xf numFmtId="0" fontId="8" fillId="0" borderId="0" xfId="0" applyFont="1"/>
    <xf numFmtId="0" fontId="8" fillId="5" borderId="56" xfId="0" applyFont="1" applyFill="1" applyBorder="1"/>
    <xf numFmtId="0" fontId="0" fillId="0" borderId="58" xfId="0" applyBorder="1"/>
    <xf numFmtId="0" fontId="8" fillId="0" borderId="53" xfId="0" applyFont="1" applyBorder="1"/>
    <xf numFmtId="0" fontId="8" fillId="0" borderId="55" xfId="0" applyFont="1" applyBorder="1"/>
    <xf numFmtId="0" fontId="8" fillId="0" borderId="56" xfId="0" applyFont="1" applyBorder="1"/>
    <xf numFmtId="0" fontId="10" fillId="0" borderId="52" xfId="0" applyFont="1" applyBorder="1" applyAlignment="1">
      <alignment horizontal="right" vertical="top"/>
    </xf>
    <xf numFmtId="0" fontId="10" fillId="0" borderId="58" xfId="0" applyFont="1" applyBorder="1" applyAlignment="1">
      <alignment horizontal="right" vertical="top"/>
    </xf>
    <xf numFmtId="0" fontId="8" fillId="7" borderId="47" xfId="0" applyFont="1" applyFill="1" applyBorder="1" applyAlignment="1" applyProtection="1">
      <alignment horizontal="center" vertical="center"/>
      <protection locked="0"/>
    </xf>
    <xf numFmtId="0" fontId="8" fillId="7" borderId="57" xfId="0" applyFont="1" applyFill="1" applyBorder="1" applyAlignment="1" applyProtection="1">
      <alignment horizontal="center" vertical="center"/>
      <protection locked="0"/>
    </xf>
    <xf numFmtId="0" fontId="27" fillId="0" borderId="31" xfId="3" applyFont="1" applyBorder="1"/>
    <xf numFmtId="0" fontId="1" fillId="0" borderId="31" xfId="3" applyBorder="1"/>
    <xf numFmtId="0" fontId="1" fillId="0" borderId="0" xfId="3"/>
    <xf numFmtId="165" fontId="1" fillId="0" borderId="0" xfId="3" applyNumberFormat="1"/>
    <xf numFmtId="0" fontId="1" fillId="11" borderId="0" xfId="3" applyFill="1"/>
    <xf numFmtId="0" fontId="16" fillId="11" borderId="0" xfId="3" applyFont="1" applyFill="1" applyAlignment="1">
      <alignment horizontal="left" vertical="center" wrapText="1" indent="1"/>
    </xf>
    <xf numFmtId="0" fontId="16" fillId="11" borderId="0" xfId="3" applyFont="1" applyFill="1" applyAlignment="1">
      <alignment vertical="center" wrapText="1"/>
    </xf>
    <xf numFmtId="0" fontId="17" fillId="0" borderId="47" xfId="3" applyFont="1" applyBorder="1" applyAlignment="1">
      <alignment horizontal="justify" vertical="center" wrapText="1"/>
    </xf>
    <xf numFmtId="4" fontId="17" fillId="0" borderId="47" xfId="3" applyNumberFormat="1" applyFont="1" applyBorder="1" applyAlignment="1">
      <alignment horizontal="right" vertical="center" wrapText="1"/>
    </xf>
    <xf numFmtId="0" fontId="17" fillId="0" borderId="47" xfId="3" applyFont="1" applyBorder="1" applyAlignment="1">
      <alignment horizontal="right" vertical="center" wrapText="1"/>
    </xf>
    <xf numFmtId="0" fontId="17" fillId="11" borderId="0" xfId="3" applyFont="1" applyFill="1" applyAlignment="1">
      <alignment horizontal="justify" vertical="center" wrapText="1"/>
    </xf>
    <xf numFmtId="0" fontId="17" fillId="11" borderId="0" xfId="3" applyFont="1" applyFill="1" applyAlignment="1">
      <alignment vertical="center" wrapText="1"/>
    </xf>
    <xf numFmtId="4" fontId="17" fillId="11" borderId="0" xfId="3" applyNumberFormat="1" applyFont="1" applyFill="1" applyAlignment="1">
      <alignment horizontal="right" vertical="center" wrapText="1"/>
    </xf>
    <xf numFmtId="0" fontId="17" fillId="11" borderId="0" xfId="3" applyFont="1" applyFill="1" applyAlignment="1">
      <alignment horizontal="right" vertical="center" wrapText="1"/>
    </xf>
    <xf numFmtId="0" fontId="17" fillId="0" borderId="0" xfId="3" applyFont="1" applyAlignment="1">
      <alignment horizontal="justify" vertical="center" wrapText="1"/>
    </xf>
    <xf numFmtId="4" fontId="17" fillId="0" borderId="0" xfId="3" applyNumberFormat="1" applyFont="1" applyAlignment="1">
      <alignment horizontal="right" vertical="center" wrapText="1"/>
    </xf>
    <xf numFmtId="0" fontId="17" fillId="0" borderId="0" xfId="3" applyFont="1" applyAlignment="1">
      <alignment horizontal="right" vertical="center" wrapText="1"/>
    </xf>
    <xf numFmtId="0" fontId="17" fillId="0" borderId="0" xfId="3" applyFont="1" applyAlignment="1">
      <alignment vertical="center" wrapText="1"/>
    </xf>
    <xf numFmtId="4" fontId="17" fillId="0" borderId="45" xfId="3" applyNumberFormat="1" applyFont="1" applyBorder="1" applyAlignment="1">
      <alignment horizontal="right" vertical="center" wrapText="1"/>
    </xf>
    <xf numFmtId="0" fontId="17" fillId="0" borderId="45" xfId="3" applyFont="1" applyBorder="1" applyAlignment="1">
      <alignment horizontal="right" vertical="center" wrapText="1"/>
    </xf>
    <xf numFmtId="4" fontId="17" fillId="0" borderId="41" xfId="3" applyNumberFormat="1" applyFont="1" applyBorder="1" applyAlignment="1">
      <alignment horizontal="right" vertical="center" wrapText="1"/>
    </xf>
    <xf numFmtId="0" fontId="17" fillId="0" borderId="41" xfId="3" applyFont="1" applyBorder="1" applyAlignment="1">
      <alignment horizontal="right" vertical="center" wrapText="1"/>
    </xf>
    <xf numFmtId="0" fontId="1" fillId="5" borderId="31" xfId="3" applyFill="1" applyBorder="1"/>
    <xf numFmtId="0" fontId="28" fillId="0" borderId="0" xfId="3" applyFont="1" applyAlignment="1">
      <alignment vertical="center" wrapText="1"/>
    </xf>
    <xf numFmtId="0" fontId="27" fillId="0" borderId="64" xfId="3" applyFont="1" applyBorder="1"/>
    <xf numFmtId="0" fontId="9" fillId="0" borderId="29" xfId="0" applyFont="1" applyBorder="1" applyAlignment="1">
      <alignment vertical="center"/>
    </xf>
    <xf numFmtId="0" fontId="10" fillId="0" borderId="30" xfId="0" applyFont="1" applyBorder="1"/>
    <xf numFmtId="0" fontId="9" fillId="0" borderId="30" xfId="0" applyFont="1" applyBorder="1" applyAlignment="1">
      <alignment vertical="center"/>
    </xf>
    <xf numFmtId="0" fontId="9" fillId="0" borderId="31" xfId="0" applyFont="1" applyBorder="1" applyAlignment="1">
      <alignment vertical="center"/>
    </xf>
    <xf numFmtId="0" fontId="9" fillId="0" borderId="32" xfId="0" applyFont="1" applyBorder="1" applyAlignment="1">
      <alignment vertical="center"/>
    </xf>
    <xf numFmtId="0" fontId="9" fillId="0" borderId="33" xfId="0" applyFont="1" applyBorder="1" applyAlignment="1">
      <alignment vertical="center"/>
    </xf>
    <xf numFmtId="0" fontId="10" fillId="0" borderId="35" xfId="0" applyFont="1" applyBorder="1"/>
    <xf numFmtId="0" fontId="9" fillId="0" borderId="35" xfId="0" applyFont="1" applyBorder="1" applyAlignment="1">
      <alignment vertical="center"/>
    </xf>
    <xf numFmtId="0" fontId="9" fillId="0" borderId="36" xfId="0" applyFont="1" applyBorder="1" applyAlignment="1">
      <alignment vertical="center"/>
    </xf>
    <xf numFmtId="0" fontId="27" fillId="0" borderId="60" xfId="3" applyFont="1" applyBorder="1" applyAlignment="1">
      <alignment horizontal="left"/>
    </xf>
    <xf numFmtId="0" fontId="10" fillId="0" borderId="0" xfId="0" quotePrefix="1" applyFont="1"/>
    <xf numFmtId="0" fontId="9" fillId="0" borderId="0" xfId="0" applyFont="1" applyAlignment="1">
      <alignment vertical="center" wrapText="1"/>
    </xf>
    <xf numFmtId="0" fontId="9" fillId="0" borderId="0" xfId="0" applyFont="1" applyBorder="1" applyAlignment="1">
      <alignment vertical="center"/>
    </xf>
    <xf numFmtId="0" fontId="17" fillId="0" borderId="65" xfId="3" applyFont="1" applyBorder="1" applyAlignment="1">
      <alignment horizontal="justify" vertical="center" wrapText="1"/>
    </xf>
    <xf numFmtId="4" fontId="17" fillId="0" borderId="65" xfId="3" applyNumberFormat="1" applyFont="1" applyBorder="1" applyAlignment="1">
      <alignment horizontal="right" vertical="center" wrapText="1"/>
    </xf>
    <xf numFmtId="0" fontId="17" fillId="0" borderId="65" xfId="3" applyFont="1" applyBorder="1" applyAlignment="1">
      <alignment horizontal="right" vertical="center" wrapText="1"/>
    </xf>
    <xf numFmtId="0" fontId="17" fillId="0" borderId="48" xfId="3" applyFont="1" applyBorder="1" applyAlignment="1">
      <alignment horizontal="justify" vertical="center" wrapText="1"/>
    </xf>
    <xf numFmtId="0" fontId="17" fillId="0" borderId="0" xfId="3" applyFont="1" applyBorder="1" applyAlignment="1">
      <alignment horizontal="justify" vertical="center" wrapText="1"/>
    </xf>
    <xf numFmtId="4" fontId="17" fillId="0" borderId="0" xfId="3" applyNumberFormat="1" applyFont="1" applyBorder="1" applyAlignment="1">
      <alignment horizontal="right" vertical="center" wrapText="1"/>
    </xf>
    <xf numFmtId="0" fontId="17" fillId="0" borderId="0" xfId="3" applyFont="1" applyBorder="1" applyAlignment="1">
      <alignment horizontal="right" vertical="center" wrapText="1"/>
    </xf>
    <xf numFmtId="4" fontId="17" fillId="0" borderId="48" xfId="3" applyNumberFormat="1" applyFont="1" applyBorder="1" applyAlignment="1">
      <alignment horizontal="right" vertical="center" wrapText="1"/>
    </xf>
    <xf numFmtId="0" fontId="17" fillId="0" borderId="48" xfId="3" applyFont="1" applyBorder="1" applyAlignment="1">
      <alignment horizontal="right" vertical="center" wrapText="1"/>
    </xf>
    <xf numFmtId="0" fontId="31" fillId="0" borderId="48" xfId="3" applyFont="1" applyBorder="1" applyAlignment="1">
      <alignment horizontal="justify" vertical="center" wrapText="1"/>
    </xf>
    <xf numFmtId="4" fontId="31" fillId="0" borderId="48" xfId="3" applyNumberFormat="1" applyFont="1" applyBorder="1" applyAlignment="1">
      <alignment horizontal="right" vertical="center" wrapText="1"/>
    </xf>
    <xf numFmtId="0" fontId="31" fillId="0" borderId="48" xfId="3" applyFont="1" applyBorder="1" applyAlignment="1">
      <alignment horizontal="right" vertical="center" wrapText="1"/>
    </xf>
    <xf numFmtId="0" fontId="30" fillId="0" borderId="48" xfId="3" applyFont="1" applyBorder="1"/>
    <xf numFmtId="0" fontId="31" fillId="0" borderId="48" xfId="3" applyFont="1" applyBorder="1" applyAlignment="1">
      <alignment vertical="center" wrapText="1"/>
    </xf>
    <xf numFmtId="0" fontId="31" fillId="0" borderId="0" xfId="3" applyFont="1" applyBorder="1" applyAlignment="1">
      <alignment horizontal="justify" vertical="center" wrapText="1"/>
    </xf>
    <xf numFmtId="4" fontId="31" fillId="0" borderId="0" xfId="3" applyNumberFormat="1" applyFont="1" applyBorder="1" applyAlignment="1">
      <alignment horizontal="right" vertical="center" wrapText="1"/>
    </xf>
    <xf numFmtId="0" fontId="31" fillId="0" borderId="0" xfId="3" applyFont="1" applyBorder="1" applyAlignment="1">
      <alignment horizontal="right" vertical="center" wrapText="1"/>
    </xf>
    <xf numFmtId="0" fontId="30" fillId="0" borderId="0" xfId="3" applyFont="1" applyBorder="1"/>
    <xf numFmtId="0" fontId="31" fillId="0" borderId="0" xfId="3" applyFont="1" applyBorder="1" applyAlignment="1">
      <alignment vertical="center" wrapText="1"/>
    </xf>
    <xf numFmtId="0" fontId="27" fillId="0" borderId="0" xfId="3" applyFont="1" applyBorder="1" applyAlignment="1">
      <alignment horizontal="left"/>
    </xf>
    <xf numFmtId="0" fontId="27" fillId="0" borderId="0" xfId="3" applyFont="1" applyBorder="1" applyAlignment="1">
      <alignment horizontal="center"/>
    </xf>
    <xf numFmtId="0" fontId="17" fillId="0" borderId="45" xfId="0" applyFont="1" applyBorder="1" applyAlignment="1">
      <alignment horizontal="justify" vertical="center" wrapText="1"/>
    </xf>
    <xf numFmtId="4" fontId="17" fillId="0" borderId="46" xfId="0" applyNumberFormat="1" applyFont="1" applyBorder="1" applyAlignment="1">
      <alignment horizontal="right" vertical="center" wrapText="1"/>
    </xf>
    <xf numFmtId="0" fontId="17" fillId="0" borderId="46" xfId="0" applyFont="1" applyBorder="1" applyAlignment="1">
      <alignment horizontal="right" vertical="center" wrapText="1"/>
    </xf>
    <xf numFmtId="0" fontId="17" fillId="0" borderId="66" xfId="3" applyFont="1" applyBorder="1" applyAlignment="1">
      <alignment horizontal="justify" vertical="center" wrapText="1"/>
    </xf>
    <xf numFmtId="4" fontId="17" fillId="0" borderId="66" xfId="3" applyNumberFormat="1" applyFont="1" applyBorder="1" applyAlignment="1">
      <alignment horizontal="right" vertical="center" wrapText="1"/>
    </xf>
    <xf numFmtId="0" fontId="17" fillId="0" borderId="66" xfId="3" applyFont="1" applyBorder="1" applyAlignment="1">
      <alignment horizontal="right" vertical="center" wrapText="1"/>
    </xf>
    <xf numFmtId="0" fontId="17" fillId="0" borderId="47" xfId="0" applyFont="1" applyBorder="1" applyAlignment="1">
      <alignment horizontal="justify" vertical="center" wrapText="1"/>
    </xf>
    <xf numFmtId="4" fontId="17" fillId="0" borderId="47" xfId="0" applyNumberFormat="1" applyFont="1" applyBorder="1" applyAlignment="1">
      <alignment horizontal="right" vertical="center" wrapText="1"/>
    </xf>
    <xf numFmtId="0" fontId="17" fillId="0" borderId="47" xfId="0" applyFont="1" applyBorder="1" applyAlignment="1">
      <alignment horizontal="right" vertical="center" wrapText="1"/>
    </xf>
    <xf numFmtId="0" fontId="5" fillId="0" borderId="35" xfId="0" applyFont="1" applyBorder="1" applyAlignment="1">
      <alignment horizontal="left"/>
    </xf>
    <xf numFmtId="0" fontId="5" fillId="0" borderId="36" xfId="0" applyFont="1" applyBorder="1" applyAlignment="1">
      <alignment horizontal="left"/>
    </xf>
    <xf numFmtId="0" fontId="5" fillId="0" borderId="0" xfId="0" applyFont="1" applyAlignment="1">
      <alignment horizontal="center"/>
    </xf>
    <xf numFmtId="0" fontId="5" fillId="0" borderId="18" xfId="0" applyFont="1" applyBorder="1"/>
    <xf numFmtId="0" fontId="5" fillId="0" borderId="19" xfId="0" applyFont="1" applyBorder="1"/>
    <xf numFmtId="0" fontId="2" fillId="0" borderId="0" xfId="0" applyFont="1" applyAlignment="1">
      <alignment horizontal="center"/>
    </xf>
    <xf numFmtId="0" fontId="4" fillId="0" borderId="0" xfId="0" applyFont="1" applyAlignment="1">
      <alignment horizontal="center"/>
    </xf>
    <xf numFmtId="0" fontId="0" fillId="2" borderId="0" xfId="0" applyFill="1"/>
    <xf numFmtId="0" fontId="5" fillId="0" borderId="16" xfId="0" applyFont="1" applyBorder="1" applyAlignment="1">
      <alignment horizontal="center"/>
    </xf>
    <xf numFmtId="0" fontId="5" fillId="0" borderId="17" xfId="0" applyFont="1" applyBorder="1" applyAlignment="1">
      <alignment horizontal="center"/>
    </xf>
    <xf numFmtId="2" fontId="5" fillId="0" borderId="14" xfId="0" applyNumberFormat="1" applyFont="1" applyBorder="1" applyAlignment="1">
      <alignment horizontal="center"/>
    </xf>
    <xf numFmtId="2" fontId="5" fillId="0" borderId="15" xfId="0" applyNumberFormat="1" applyFont="1" applyBorder="1" applyAlignment="1">
      <alignment horizontal="center"/>
    </xf>
    <xf numFmtId="2" fontId="5" fillId="0" borderId="2" xfId="0" applyNumberFormat="1" applyFont="1" applyBorder="1" applyAlignment="1">
      <alignment horizontal="center"/>
    </xf>
    <xf numFmtId="2" fontId="5" fillId="0" borderId="18" xfId="0" applyNumberFormat="1" applyFont="1" applyBorder="1" applyAlignment="1">
      <alignment horizontal="center"/>
    </xf>
    <xf numFmtId="2" fontId="5" fillId="0" borderId="3" xfId="0" applyNumberFormat="1" applyFont="1" applyBorder="1" applyAlignment="1">
      <alignment horizontal="center"/>
    </xf>
    <xf numFmtId="2" fontId="5" fillId="0" borderId="19" xfId="0" applyNumberFormat="1" applyFont="1" applyBorder="1" applyAlignment="1">
      <alignment horizontal="center"/>
    </xf>
    <xf numFmtId="0" fontId="5" fillId="0" borderId="18" xfId="0" applyFont="1" applyBorder="1" applyAlignment="1">
      <alignment horizontal="center"/>
    </xf>
    <xf numFmtId="0" fontId="5" fillId="0" borderId="3" xfId="0" applyFont="1" applyBorder="1" applyAlignment="1">
      <alignment horizontal="center"/>
    </xf>
    <xf numFmtId="0" fontId="5" fillId="0" borderId="19" xfId="0" applyFont="1" applyBorder="1" applyAlignment="1">
      <alignment horizontal="center"/>
    </xf>
    <xf numFmtId="0" fontId="5" fillId="0" borderId="8" xfId="0" applyFont="1" applyBorder="1" applyAlignment="1">
      <alignment horizontal="center"/>
    </xf>
    <xf numFmtId="0" fontId="5" fillId="0" borderId="24" xfId="0" applyFont="1" applyBorder="1" applyAlignment="1">
      <alignment horizontal="center"/>
    </xf>
    <xf numFmtId="0" fontId="5" fillId="0" borderId="9" xfId="0" applyFont="1" applyBorder="1" applyAlignment="1">
      <alignment horizontal="center"/>
    </xf>
    <xf numFmtId="2" fontId="5" fillId="0" borderId="22" xfId="0" applyNumberFormat="1" applyFont="1" applyBorder="1" applyAlignment="1">
      <alignment horizontal="center" vertical="center"/>
    </xf>
    <xf numFmtId="2" fontId="5" fillId="0" borderId="25" xfId="0" applyNumberFormat="1" applyFont="1" applyBorder="1" applyAlignment="1">
      <alignment horizontal="center" vertical="center"/>
    </xf>
    <xf numFmtId="2" fontId="5" fillId="0" borderId="23" xfId="0" applyNumberFormat="1" applyFont="1" applyBorder="1" applyAlignment="1">
      <alignment horizontal="center" vertical="center"/>
    </xf>
    <xf numFmtId="0" fontId="5" fillId="3" borderId="18" xfId="0" applyFont="1" applyFill="1" applyBorder="1" applyAlignment="1" applyProtection="1">
      <alignment horizontal="center"/>
      <protection locked="0"/>
    </xf>
    <xf numFmtId="0" fontId="5" fillId="3" borderId="19" xfId="0" applyFont="1" applyFill="1" applyBorder="1" applyAlignment="1" applyProtection="1">
      <alignment horizontal="center"/>
      <protection locked="0"/>
    </xf>
    <xf numFmtId="0" fontId="5" fillId="0" borderId="14" xfId="0" applyFont="1" applyBorder="1" applyAlignment="1">
      <alignment horizontal="center"/>
    </xf>
    <xf numFmtId="0" fontId="5" fillId="0" borderId="15" xfId="0" applyFont="1" applyBorder="1" applyAlignment="1">
      <alignment horizontal="center"/>
    </xf>
    <xf numFmtId="0" fontId="5" fillId="0" borderId="22" xfId="0" applyFont="1" applyBorder="1"/>
    <xf numFmtId="0" fontId="5" fillId="0" borderId="23" xfId="0" applyFont="1" applyBorder="1"/>
    <xf numFmtId="0" fontId="5" fillId="0" borderId="20" xfId="0" applyFont="1" applyBorder="1" applyAlignment="1">
      <alignment horizontal="center"/>
    </xf>
    <xf numFmtId="0" fontId="5" fillId="0" borderId="26" xfId="0" applyFont="1" applyBorder="1" applyAlignment="1">
      <alignment horizontal="center"/>
    </xf>
    <xf numFmtId="0" fontId="5" fillId="0" borderId="21" xfId="0" applyFont="1" applyBorder="1" applyAlignment="1">
      <alignment horizontal="center"/>
    </xf>
    <xf numFmtId="0" fontId="5" fillId="0" borderId="14" xfId="0" applyFont="1" applyBorder="1"/>
    <xf numFmtId="0" fontId="5" fillId="0" borderId="15" xfId="0" applyFont="1" applyBorder="1"/>
    <xf numFmtId="0" fontId="5" fillId="3" borderId="14" xfId="0" applyFont="1" applyFill="1" applyBorder="1" applyAlignment="1" applyProtection="1">
      <alignment horizontal="center"/>
      <protection locked="0"/>
    </xf>
    <xf numFmtId="0" fontId="5" fillId="3" borderId="15" xfId="0" applyFont="1" applyFill="1" applyBorder="1" applyAlignment="1" applyProtection="1">
      <alignment horizontal="center"/>
      <protection locked="0"/>
    </xf>
    <xf numFmtId="0" fontId="5" fillId="3" borderId="20" xfId="0" applyFont="1" applyFill="1" applyBorder="1" applyAlignment="1" applyProtection="1">
      <alignment horizontal="center"/>
      <protection locked="0"/>
    </xf>
    <xf numFmtId="0" fontId="5" fillId="3" borderId="21" xfId="0" applyFont="1" applyFill="1" applyBorder="1" applyAlignment="1" applyProtection="1">
      <alignment horizontal="center"/>
      <protection locked="0"/>
    </xf>
    <xf numFmtId="0" fontId="5" fillId="0" borderId="16" xfId="0" applyFont="1" applyBorder="1"/>
    <xf numFmtId="0" fontId="5" fillId="0" borderId="17" xfId="0" applyFont="1" applyBorder="1"/>
    <xf numFmtId="0" fontId="5" fillId="0" borderId="25" xfId="0" applyFont="1" applyBorder="1"/>
    <xf numFmtId="2" fontId="5" fillId="0" borderId="22" xfId="0" applyNumberFormat="1" applyFont="1" applyBorder="1" applyAlignment="1">
      <alignment horizontal="center"/>
    </xf>
    <xf numFmtId="2" fontId="5" fillId="0" borderId="23" xfId="0" applyNumberFormat="1" applyFont="1" applyBorder="1" applyAlignment="1">
      <alignment horizontal="center"/>
    </xf>
    <xf numFmtId="0" fontId="5" fillId="0" borderId="10" xfId="0" applyFont="1" applyBorder="1"/>
    <xf numFmtId="0" fontId="5" fillId="0" borderId="27" xfId="0" applyFont="1" applyBorder="1"/>
    <xf numFmtId="0" fontId="5" fillId="0" borderId="11" xfId="0" applyFont="1" applyBorder="1"/>
    <xf numFmtId="0" fontId="0" fillId="0" borderId="12" xfId="0" applyBorder="1"/>
    <xf numFmtId="0" fontId="0" fillId="0" borderId="28" xfId="0" applyBorder="1"/>
    <xf numFmtId="0" fontId="0" fillId="0" borderId="13" xfId="0" applyBorder="1"/>
    <xf numFmtId="49" fontId="5" fillId="0" borderId="14" xfId="0" applyNumberFormat="1" applyFont="1" applyBorder="1"/>
    <xf numFmtId="49" fontId="5" fillId="0" borderId="15" xfId="0" applyNumberFormat="1" applyFont="1" applyBorder="1"/>
    <xf numFmtId="49" fontId="5" fillId="0" borderId="16" xfId="0" applyNumberFormat="1" applyFont="1" applyBorder="1"/>
    <xf numFmtId="49" fontId="5" fillId="0" borderId="17" xfId="0" applyNumberFormat="1" applyFont="1" applyBorder="1"/>
    <xf numFmtId="49" fontId="5" fillId="0" borderId="14" xfId="0" applyNumberFormat="1" applyFont="1" applyBorder="1" applyAlignment="1">
      <alignment horizontal="center"/>
    </xf>
    <xf numFmtId="49" fontId="5" fillId="0" borderId="15" xfId="0" applyNumberFormat="1" applyFont="1" applyBorder="1" applyAlignment="1">
      <alignment horizontal="center"/>
    </xf>
    <xf numFmtId="0" fontId="5" fillId="0" borderId="2" xfId="0" applyFont="1" applyBorder="1"/>
    <xf numFmtId="2" fontId="5" fillId="0" borderId="16" xfId="0" applyNumberFormat="1" applyFont="1" applyBorder="1" applyAlignment="1">
      <alignment horizontal="center"/>
    </xf>
    <xf numFmtId="2" fontId="5" fillId="0" borderId="0" xfId="0" applyNumberFormat="1" applyFont="1" applyAlignment="1">
      <alignment horizontal="center"/>
    </xf>
    <xf numFmtId="2" fontId="5" fillId="0" borderId="17" xfId="0" applyNumberFormat="1" applyFont="1" applyBorder="1" applyAlignment="1">
      <alignment horizont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0" fillId="0" borderId="0" xfId="0" applyFont="1" applyAlignment="1">
      <alignment horizontal="center"/>
    </xf>
    <xf numFmtId="0" fontId="5" fillId="0" borderId="12" xfId="0" applyFont="1" applyBorder="1"/>
    <xf numFmtId="0" fontId="5" fillId="0" borderId="13" xfId="0" applyFont="1" applyBorder="1"/>
    <xf numFmtId="0" fontId="5" fillId="3" borderId="16"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0" fillId="7" borderId="47" xfId="0" applyFill="1" applyBorder="1" applyAlignment="1" applyProtection="1">
      <alignment horizontal="center"/>
      <protection locked="0"/>
    </xf>
    <xf numFmtId="49" fontId="5" fillId="0" borderId="8" xfId="0" applyNumberFormat="1" applyFont="1" applyBorder="1" applyAlignment="1">
      <alignment horizontal="left"/>
    </xf>
    <xf numFmtId="49" fontId="5" fillId="0" borderId="9" xfId="0" applyNumberFormat="1" applyFont="1" applyBorder="1" applyAlignment="1">
      <alignment horizontal="left"/>
    </xf>
    <xf numFmtId="0" fontId="5" fillId="0" borderId="20" xfId="0" applyFont="1" applyBorder="1"/>
    <xf numFmtId="0" fontId="5" fillId="0" borderId="21" xfId="0" applyFont="1" applyBorder="1"/>
    <xf numFmtId="0" fontId="5" fillId="0" borderId="2" xfId="0" applyFont="1" applyBorder="1" applyAlignment="1">
      <alignment horizontal="center"/>
    </xf>
    <xf numFmtId="0" fontId="5" fillId="0" borderId="8" xfId="0" applyFont="1" applyBorder="1"/>
    <xf numFmtId="0" fontId="5" fillId="0" borderId="9" xfId="0" applyFont="1" applyBorder="1"/>
    <xf numFmtId="0" fontId="5" fillId="0" borderId="22" xfId="0" applyFont="1" applyBorder="1" applyAlignment="1">
      <alignment horizontal="center"/>
    </xf>
    <xf numFmtId="0" fontId="5" fillId="0" borderId="23" xfId="0" applyFont="1" applyBorder="1" applyAlignment="1">
      <alignment horizontal="center"/>
    </xf>
    <xf numFmtId="0" fontId="5" fillId="0" borderId="28" xfId="0" applyFont="1" applyBorder="1"/>
    <xf numFmtId="0" fontId="8" fillId="0" borderId="47"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22" fillId="0" borderId="48" xfId="0" applyFont="1" applyBorder="1" applyAlignment="1">
      <alignment horizontal="center" wrapText="1"/>
    </xf>
    <xf numFmtId="0" fontId="22" fillId="0" borderId="0" xfId="0" applyFont="1" applyAlignment="1">
      <alignment horizontal="center" wrapText="1"/>
    </xf>
    <xf numFmtId="0" fontId="5" fillId="0" borderId="0" xfId="0" applyFont="1" applyAlignment="1">
      <alignment horizontal="left"/>
    </xf>
    <xf numFmtId="0" fontId="23" fillId="0" borderId="29" xfId="0" applyFont="1" applyBorder="1" applyAlignment="1">
      <alignment horizontal="center" wrapText="1"/>
    </xf>
    <xf numFmtId="0" fontId="8" fillId="0" borderId="30" xfId="0" applyFont="1"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8" fillId="0" borderId="29" xfId="0" applyFont="1" applyBorder="1" applyAlignment="1">
      <alignment horizontal="center" wrapText="1"/>
    </xf>
    <xf numFmtId="0" fontId="8" fillId="0" borderId="53" xfId="0" applyFont="1" applyBorder="1" applyAlignment="1">
      <alignment horizontal="left" vertical="center" wrapText="1"/>
    </xf>
    <xf numFmtId="0" fontId="8" fillId="0" borderId="3" xfId="0" applyFont="1" applyBorder="1" applyAlignment="1">
      <alignment horizontal="left" vertical="center" wrapText="1"/>
    </xf>
    <xf numFmtId="0" fontId="24" fillId="0" borderId="55" xfId="0" applyFont="1" applyBorder="1" applyAlignment="1">
      <alignment horizontal="left"/>
    </xf>
    <xf numFmtId="0" fontId="24" fillId="0" borderId="56" xfId="0" applyFont="1" applyBorder="1" applyAlignment="1">
      <alignment horizontal="left"/>
    </xf>
    <xf numFmtId="0" fontId="24" fillId="0" borderId="53" xfId="0" applyFont="1" applyBorder="1" applyAlignment="1">
      <alignment horizontal="left"/>
    </xf>
    <xf numFmtId="0" fontId="24" fillId="0" borderId="3" xfId="0" applyFont="1" applyBorder="1" applyAlignment="1">
      <alignment horizontal="left"/>
    </xf>
    <xf numFmtId="0" fontId="8" fillId="0" borderId="57" xfId="0" applyFont="1" applyBorder="1" applyAlignment="1" applyProtection="1">
      <alignment horizontal="center" vertical="center"/>
      <protection locked="0"/>
    </xf>
    <xf numFmtId="0" fontId="8" fillId="0" borderId="59" xfId="0" applyFont="1" applyBorder="1" applyAlignment="1" applyProtection="1">
      <alignment horizontal="center" vertical="center"/>
      <protection locked="0"/>
    </xf>
    <xf numFmtId="0" fontId="11" fillId="0" borderId="0" xfId="0" applyFont="1" applyAlignment="1">
      <alignment horizontal="center"/>
    </xf>
    <xf numFmtId="0" fontId="26" fillId="0" borderId="0" xfId="0" applyFont="1" applyAlignment="1">
      <alignment horizontal="center"/>
    </xf>
    <xf numFmtId="0" fontId="0" fillId="0" borderId="0" xfId="0" applyAlignment="1">
      <alignment horizontal="center"/>
    </xf>
    <xf numFmtId="0" fontId="23" fillId="0" borderId="0" xfId="0" applyFont="1" applyAlignment="1">
      <alignment horizontal="center" vertical="center"/>
    </xf>
    <xf numFmtId="0" fontId="6" fillId="0" borderId="47" xfId="0" applyFont="1" applyBorder="1" applyAlignment="1">
      <alignment horizontal="center" vertical="center"/>
    </xf>
    <xf numFmtId="0" fontId="25" fillId="5" borderId="60" xfId="0" applyFont="1" applyFill="1" applyBorder="1" applyAlignment="1">
      <alignment horizontal="left" vertical="center"/>
    </xf>
    <xf numFmtId="0" fontId="25" fillId="5" borderId="61" xfId="0" applyFont="1" applyFill="1" applyBorder="1" applyAlignment="1">
      <alignment horizontal="left" vertical="center"/>
    </xf>
    <xf numFmtId="0" fontId="25" fillId="5" borderId="62" xfId="0" applyFont="1" applyFill="1" applyBorder="1" applyAlignment="1">
      <alignment horizontal="left" vertical="center"/>
    </xf>
    <xf numFmtId="0" fontId="25" fillId="5" borderId="35" xfId="0" applyFont="1" applyFill="1" applyBorder="1" applyAlignment="1">
      <alignment horizontal="right" vertical="center"/>
    </xf>
    <xf numFmtId="0" fontId="8" fillId="7" borderId="57" xfId="0" applyFont="1" applyFill="1" applyBorder="1" applyAlignment="1" applyProtection="1">
      <alignment horizontal="center" vertical="center"/>
      <protection locked="0"/>
    </xf>
    <xf numFmtId="0" fontId="8" fillId="0" borderId="47" xfId="0" applyFont="1" applyBorder="1" applyAlignment="1">
      <alignment horizontal="center" vertical="center"/>
    </xf>
    <xf numFmtId="0" fontId="8" fillId="0" borderId="54" xfId="0" applyFont="1" applyBorder="1" applyAlignment="1">
      <alignment horizontal="center" vertical="center"/>
    </xf>
    <xf numFmtId="0" fontId="8" fillId="0" borderId="57" xfId="0" applyFont="1" applyBorder="1" applyAlignment="1">
      <alignment horizontal="center" vertical="center"/>
    </xf>
    <xf numFmtId="0" fontId="8" fillId="0" borderId="59" xfId="0" applyFont="1" applyBorder="1" applyAlignment="1">
      <alignment horizontal="center" vertical="center"/>
    </xf>
    <xf numFmtId="0" fontId="11" fillId="0" borderId="29" xfId="0" applyFont="1" applyBorder="1" applyAlignment="1">
      <alignment horizontal="center"/>
    </xf>
    <xf numFmtId="0" fontId="11" fillId="0" borderId="30" xfId="0" applyFont="1" applyBorder="1" applyAlignment="1">
      <alignment horizontal="center"/>
    </xf>
    <xf numFmtId="0" fontId="11" fillId="0" borderId="31" xfId="0" applyFont="1" applyBorder="1" applyAlignment="1">
      <alignment horizontal="center"/>
    </xf>
    <xf numFmtId="0" fontId="11" fillId="0" borderId="32" xfId="0" applyFont="1" applyBorder="1" applyAlignment="1">
      <alignment horizontal="center" wrapText="1"/>
    </xf>
    <xf numFmtId="0" fontId="5" fillId="0" borderId="35" xfId="0" applyFont="1" applyBorder="1" applyAlignment="1">
      <alignment horizontal="center"/>
    </xf>
    <xf numFmtId="0" fontId="16" fillId="11" borderId="0" xfId="3" applyFont="1" applyFill="1" applyAlignment="1">
      <alignment horizontal="center" vertical="center" wrapText="1"/>
    </xf>
    <xf numFmtId="0" fontId="28" fillId="4" borderId="47" xfId="3" applyFont="1" applyFill="1" applyBorder="1" applyAlignment="1">
      <alignment horizontal="center" vertical="center" wrapText="1"/>
    </xf>
    <xf numFmtId="0" fontId="28" fillId="4" borderId="63" xfId="3" applyFont="1" applyFill="1" applyBorder="1" applyAlignment="1">
      <alignment horizontal="center" vertical="center" wrapText="1"/>
    </xf>
    <xf numFmtId="0" fontId="28" fillId="11" borderId="0" xfId="3" applyFont="1" applyFill="1" applyAlignment="1">
      <alignment horizontal="center" vertical="center" wrapText="1"/>
    </xf>
    <xf numFmtId="0" fontId="29" fillId="0" borderId="60" xfId="3" applyFont="1" applyBorder="1" applyAlignment="1">
      <alignment horizontal="left"/>
    </xf>
    <xf numFmtId="0" fontId="29" fillId="0" borderId="62" xfId="3" applyFont="1" applyBorder="1" applyAlignment="1">
      <alignment horizontal="left"/>
    </xf>
    <xf numFmtId="49" fontId="29" fillId="0" borderId="60" xfId="3" applyNumberFormat="1" applyFont="1" applyBorder="1" applyAlignment="1">
      <alignment horizontal="left"/>
    </xf>
    <xf numFmtId="49" fontId="29" fillId="0" borderId="62" xfId="3" applyNumberFormat="1" applyFont="1" applyBorder="1" applyAlignment="1">
      <alignment horizontal="left"/>
    </xf>
    <xf numFmtId="49" fontId="27" fillId="0" borderId="60" xfId="3" applyNumberFormat="1" applyFont="1" applyBorder="1" applyAlignment="1">
      <alignment horizontal="left"/>
    </xf>
    <xf numFmtId="49" fontId="27" fillId="0" borderId="62" xfId="3" applyNumberFormat="1" applyFont="1" applyBorder="1" applyAlignment="1">
      <alignment horizontal="left"/>
    </xf>
    <xf numFmtId="0" fontId="16" fillId="4" borderId="47" xfId="3" applyFont="1" applyFill="1" applyBorder="1" applyAlignment="1">
      <alignment horizontal="center" vertical="center" wrapText="1"/>
    </xf>
    <xf numFmtId="0" fontId="27" fillId="0" borderId="35" xfId="3" applyFont="1" applyBorder="1" applyAlignment="1">
      <alignment horizontal="center"/>
    </xf>
    <xf numFmtId="0" fontId="27" fillId="0" borderId="36" xfId="3" applyFont="1" applyBorder="1" applyAlignment="1">
      <alignment horizontal="center"/>
    </xf>
    <xf numFmtId="0" fontId="16" fillId="4" borderId="0" xfId="0" applyFont="1" applyFill="1" applyAlignment="1">
      <alignment horizontal="center" vertical="center" wrapText="1"/>
    </xf>
    <xf numFmtId="0" fontId="2" fillId="0" borderId="35" xfId="0" applyFont="1" applyBorder="1" applyAlignment="1">
      <alignment horizontal="center"/>
    </xf>
    <xf numFmtId="0" fontId="10" fillId="0" borderId="0" xfId="0" applyFont="1" applyAlignment="1">
      <alignment horizontal="center"/>
    </xf>
    <xf numFmtId="0" fontId="0" fillId="0" borderId="29" xfId="0" applyBorder="1" applyAlignment="1">
      <alignment horizontal="center"/>
    </xf>
  </cellXfs>
  <cellStyles count="4">
    <cellStyle name="Calculation" xfId="1" builtinId="22"/>
    <cellStyle name="Normal" xfId="0" builtinId="0"/>
    <cellStyle name="Normal 2" xfId="2"/>
    <cellStyle name="Normal 3" xfId="3"/>
  </cellStyles>
  <dxfs count="50">
    <dxf>
      <fill>
        <patternFill>
          <bgColor rgb="FFFFFF00"/>
        </patternFill>
      </fill>
    </dxf>
    <dxf>
      <fill>
        <patternFill>
          <bgColor rgb="FFFF0000"/>
        </patternFill>
      </fill>
    </dxf>
    <dxf>
      <fill>
        <patternFill>
          <bgColor rgb="FFFFFF00"/>
        </patternFill>
      </fill>
    </dxf>
    <dxf>
      <fill>
        <patternFill>
          <bgColor rgb="FFFF0000"/>
        </patternFill>
      </fill>
    </dxf>
    <dxf>
      <font>
        <color rgb="FFFF0000"/>
      </font>
      <fill>
        <patternFill>
          <bgColor rgb="FFFF9999"/>
        </patternFill>
      </fill>
    </dxf>
    <dxf>
      <font>
        <color rgb="FFFF0000"/>
      </font>
      <fill>
        <patternFill>
          <bgColor rgb="FFFF7C80"/>
        </patternFill>
      </fill>
    </dxf>
    <dxf>
      <font>
        <color theme="0"/>
      </font>
      <fill>
        <patternFill>
          <bgColor theme="0"/>
        </patternFill>
      </fill>
    </dxf>
    <dxf>
      <font>
        <b/>
        <i/>
      </font>
      <fill>
        <patternFill>
          <bgColor rgb="FFFF9933"/>
        </patternFill>
      </fill>
    </dxf>
    <dxf>
      <font>
        <b/>
        <i/>
      </font>
      <fill>
        <patternFill>
          <bgColor rgb="FFFF9933"/>
        </patternFill>
      </fill>
    </dxf>
    <dxf>
      <font>
        <b/>
        <i/>
      </font>
      <fill>
        <patternFill>
          <bgColor rgb="FFFF0000"/>
        </patternFill>
      </fill>
    </dxf>
    <dxf>
      <font>
        <b/>
        <i/>
      </font>
      <fill>
        <patternFill>
          <bgColor rgb="FFFF0000"/>
        </patternFill>
      </fill>
    </dxf>
    <dxf>
      <font>
        <b/>
        <i/>
      </font>
      <fill>
        <patternFill>
          <bgColor rgb="FF00B0F0"/>
        </patternFill>
      </fill>
    </dxf>
    <dxf>
      <font>
        <b/>
        <i/>
      </font>
      <fill>
        <patternFill>
          <bgColor rgb="FF00B0F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C843"/>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ont>
        <color theme="0"/>
      </font>
      <fill>
        <patternFill>
          <bgColor rgb="FF00B050"/>
        </patternFill>
      </fill>
    </dxf>
    <dxf>
      <font>
        <color auto="1"/>
      </font>
      <fill>
        <patternFill>
          <bgColor rgb="FFFF0000"/>
        </patternFill>
      </fill>
    </dxf>
    <dxf>
      <font>
        <color rgb="FFFF0000"/>
      </font>
      <fill>
        <patternFill>
          <bgColor rgb="FFFF9999"/>
        </patternFill>
      </fill>
    </dxf>
    <dxf>
      <font>
        <color rgb="FFFF0000"/>
      </font>
      <fill>
        <patternFill>
          <bgColor rgb="FFFF9999"/>
        </patternFill>
      </fill>
    </dxf>
    <dxf>
      <font>
        <color rgb="FFFF0000"/>
      </font>
      <fill>
        <patternFill>
          <bgColor rgb="FFFF9999"/>
        </patternFill>
      </fill>
    </dxf>
    <dxf>
      <font>
        <color rgb="FFFF0000"/>
      </font>
      <fill>
        <patternFill>
          <bgColor rgb="FFFF9999"/>
        </patternFill>
      </fill>
    </dxf>
    <dxf>
      <font>
        <color rgb="FFFF0000"/>
      </font>
      <fill>
        <patternFill>
          <bgColor rgb="FFFF9999"/>
        </patternFill>
      </fill>
    </dxf>
    <dxf>
      <font>
        <color theme="7" tint="-0.499984740745262"/>
      </font>
      <fill>
        <patternFill>
          <bgColor rgb="FFFFFF99"/>
        </patternFill>
      </fill>
    </dxf>
    <dxf>
      <font>
        <color rgb="FFFF0000"/>
      </font>
      <fill>
        <patternFill>
          <bgColor rgb="FFFF9999"/>
        </patternFill>
      </fill>
    </dxf>
    <dxf>
      <font>
        <color rgb="FFFF0000"/>
      </font>
      <fill>
        <patternFill>
          <bgColor rgb="FFFF9999"/>
        </patternFill>
      </fill>
    </dxf>
    <dxf>
      <font>
        <color theme="7" tint="-0.499984740745262"/>
      </font>
      <fill>
        <patternFill>
          <bgColor rgb="FFFFFF99"/>
        </patternFill>
      </fill>
    </dxf>
    <dxf>
      <font>
        <color rgb="FFFF0000"/>
      </font>
      <fill>
        <patternFill>
          <bgColor rgb="FFEF8989"/>
        </patternFill>
      </fill>
    </dxf>
  </dxfs>
  <tableStyles count="0" defaultTableStyle="TableStyleMedium2" defaultPivotStyle="PivotStyleLight16"/>
  <colors>
    <mruColors>
      <color rgb="FFFF9933"/>
      <color rgb="FF00C843"/>
      <color rgb="FF07DB39"/>
      <color rgb="FFFFFF99"/>
      <color rgb="FFF97407"/>
      <color rgb="FFFA9106"/>
      <color rgb="FFFF7C80"/>
      <color rgb="FFFF9999"/>
      <color rgb="FFE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'CG Envelope'!$E$3:$F$3</c:f>
              <c:strCache>
                <c:ptCount val="1"/>
                <c:pt idx="0">
                  <c:v>FCS Off</c:v>
                </c:pt>
              </c:strCache>
            </c:strRef>
          </c:tx>
          <c:spPr>
            <a:ln w="19050" cap="rnd">
              <a:solidFill>
                <a:srgbClr val="7030A0"/>
              </a:solidFill>
              <a:round/>
            </a:ln>
            <a:effectLst/>
          </c:spPr>
          <c:marker>
            <c:symbol val="circle"/>
            <c:size val="5"/>
            <c:spPr>
              <a:solidFill>
                <a:schemeClr val="accent1"/>
              </a:solidFill>
              <a:ln w="9525">
                <a:solidFill>
                  <a:srgbClr val="7030A0"/>
                </a:solidFill>
              </a:ln>
              <a:effectLst/>
            </c:spPr>
          </c:marker>
          <c:xVal>
            <c:numRef>
              <c:f>'CG Envelope'!$E$5:$E$9</c:f>
              <c:numCache>
                <c:formatCode>General</c:formatCode>
                <c:ptCount val="5"/>
                <c:pt idx="0">
                  <c:v>106</c:v>
                </c:pt>
                <c:pt idx="1">
                  <c:v>106</c:v>
                </c:pt>
                <c:pt idx="2">
                  <c:v>111.4</c:v>
                </c:pt>
                <c:pt idx="3">
                  <c:v>114.2</c:v>
                </c:pt>
                <c:pt idx="4">
                  <c:v>114.2</c:v>
                </c:pt>
              </c:numCache>
            </c:numRef>
          </c:xVal>
          <c:yVal>
            <c:numRef>
              <c:f>'CG Envelope'!$F$5:$F$9</c:f>
              <c:numCache>
                <c:formatCode>General</c:formatCode>
                <c:ptCount val="5"/>
                <c:pt idx="0">
                  <c:v>2000</c:v>
                </c:pt>
                <c:pt idx="1">
                  <c:v>3200</c:v>
                </c:pt>
                <c:pt idx="2">
                  <c:v>3200</c:v>
                </c:pt>
                <c:pt idx="3">
                  <c:v>2350</c:v>
                </c:pt>
                <c:pt idx="4">
                  <c:v>2000</c:v>
                </c:pt>
              </c:numCache>
            </c:numRef>
          </c:yVal>
          <c:smooth val="0"/>
          <c:extLst>
            <c:ext xmlns:c16="http://schemas.microsoft.com/office/drawing/2014/chart" uri="{C3380CC4-5D6E-409C-BE32-E72D297353CC}">
              <c16:uniqueId val="{00000000-904F-488F-A66D-5A9E175CA154}"/>
            </c:ext>
          </c:extLst>
        </c:ser>
        <c:ser>
          <c:idx val="2"/>
          <c:order val="1"/>
          <c:tx>
            <c:strRef>
              <c:f>'CG Envelope'!$B$3:$C$3</c:f>
              <c:strCache>
                <c:ptCount val="1"/>
                <c:pt idx="0">
                  <c:v>FCS On</c:v>
                </c:pt>
              </c:strCache>
            </c:strRef>
          </c:tx>
          <c:spPr>
            <a:ln w="19050" cap="rnd">
              <a:solidFill>
                <a:schemeClr val="tx1"/>
              </a:solidFill>
              <a:round/>
            </a:ln>
            <a:effectLst/>
          </c:spPr>
          <c:marker>
            <c:symbol val="circle"/>
            <c:size val="5"/>
            <c:spPr>
              <a:solidFill>
                <a:schemeClr val="accent3"/>
              </a:solidFill>
              <a:ln w="9525">
                <a:solidFill>
                  <a:schemeClr val="tx1"/>
                </a:solidFill>
              </a:ln>
              <a:effectLst/>
            </c:spPr>
          </c:marker>
          <c:xVal>
            <c:numRef>
              <c:f>'CG Envelope'!$B$5:$B$10</c:f>
              <c:numCache>
                <c:formatCode>General</c:formatCode>
                <c:ptCount val="6"/>
                <c:pt idx="0">
                  <c:v>106.75</c:v>
                </c:pt>
                <c:pt idx="1">
                  <c:v>106.75</c:v>
                </c:pt>
                <c:pt idx="2">
                  <c:v>111.4</c:v>
                </c:pt>
                <c:pt idx="3">
                  <c:v>112.5</c:v>
                </c:pt>
                <c:pt idx="4">
                  <c:v>112.5</c:v>
                </c:pt>
                <c:pt idx="5">
                  <c:v>111</c:v>
                </c:pt>
              </c:numCache>
            </c:numRef>
          </c:xVal>
          <c:yVal>
            <c:numRef>
              <c:f>'CG Envelope'!$C$5:$C$10</c:f>
              <c:numCache>
                <c:formatCode>General</c:formatCode>
                <c:ptCount val="6"/>
                <c:pt idx="0">
                  <c:v>2000</c:v>
                </c:pt>
                <c:pt idx="1">
                  <c:v>3200</c:v>
                </c:pt>
                <c:pt idx="2">
                  <c:v>3200</c:v>
                </c:pt>
                <c:pt idx="3">
                  <c:v>2900</c:v>
                </c:pt>
                <c:pt idx="4">
                  <c:v>2450</c:v>
                </c:pt>
                <c:pt idx="5">
                  <c:v>2000</c:v>
                </c:pt>
              </c:numCache>
            </c:numRef>
          </c:yVal>
          <c:smooth val="0"/>
          <c:extLst>
            <c:ext xmlns:c16="http://schemas.microsoft.com/office/drawing/2014/chart" uri="{C3380CC4-5D6E-409C-BE32-E72D297353CC}">
              <c16:uniqueId val="{00000001-904F-488F-A66D-5A9E175CA154}"/>
            </c:ext>
          </c:extLst>
        </c:ser>
        <c:ser>
          <c:idx val="1"/>
          <c:order val="2"/>
          <c:tx>
            <c:strRef>
              <c:f>'CG Envelope'!$D$24</c:f>
              <c:strCache>
                <c:ptCount val="1"/>
                <c:pt idx="0">
                  <c:v>T/O CG</c:v>
                </c:pt>
              </c:strCache>
            </c:strRef>
          </c:tx>
          <c:spPr>
            <a:ln w="19050" cap="rnd">
              <a:solidFill>
                <a:schemeClr val="accent2"/>
              </a:solidFill>
              <a:round/>
            </a:ln>
            <a:effectLst/>
          </c:spPr>
          <c:marker>
            <c:symbol val="circle"/>
            <c:size val="5"/>
            <c:spPr>
              <a:solidFill>
                <a:schemeClr val="tx1"/>
              </a:solidFill>
              <a:ln w="9525">
                <a:solidFill>
                  <a:schemeClr val="accent2"/>
                </a:solidFill>
              </a:ln>
              <a:effectLst/>
            </c:spPr>
          </c:marker>
          <c:dLbls>
            <c:dLbl>
              <c:idx val="0"/>
              <c:layout>
                <c:manualLayout>
                  <c:x val="6.2246215076703908E-2"/>
                  <c:y val="1.8433878738768228E-2"/>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ext>
                <c:ext xmlns:c16="http://schemas.microsoft.com/office/drawing/2014/chart" uri="{C3380CC4-5D6E-409C-BE32-E72D297353CC}">
                  <c16:uniqueId val="{00000002-904F-488F-A66D-5A9E175CA1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1"/>
            <c:showPercent val="0"/>
            <c:showBubbleSize val="0"/>
            <c:showLeaderLines val="0"/>
            <c:extLst>
              <c:ext xmlns:c15="http://schemas.microsoft.com/office/drawing/2012/chart" uri="{CE6537A1-D6FC-4f65-9D91-7224C49458BB}">
                <c15:showLeaderLines val="0"/>
              </c:ext>
            </c:extLst>
          </c:dLbls>
          <c:xVal>
            <c:numRef>
              <c:f>'CG Envelope'!$D$25</c:f>
              <c:numCache>
                <c:formatCode>General</c:formatCode>
                <c:ptCount val="1"/>
                <c:pt idx="0">
                  <c:v>118.3</c:v>
                </c:pt>
              </c:numCache>
            </c:numRef>
          </c:xVal>
          <c:yVal>
            <c:numRef>
              <c:f>'CG Envelope'!$B$25</c:f>
              <c:numCache>
                <c:formatCode>General</c:formatCode>
                <c:ptCount val="1"/>
                <c:pt idx="0">
                  <c:v>2465.1999999999998</c:v>
                </c:pt>
              </c:numCache>
            </c:numRef>
          </c:yVal>
          <c:smooth val="0"/>
          <c:extLst>
            <c:ext xmlns:c16="http://schemas.microsoft.com/office/drawing/2014/chart" uri="{C3380CC4-5D6E-409C-BE32-E72D297353CC}">
              <c16:uniqueId val="{00000003-904F-488F-A66D-5A9E175CA154}"/>
            </c:ext>
          </c:extLst>
        </c:ser>
        <c:ser>
          <c:idx val="3"/>
          <c:order val="3"/>
          <c:tx>
            <c:strRef>
              <c:f>'CG Envelope'!$D$28</c:f>
              <c:strCache>
                <c:ptCount val="1"/>
                <c:pt idx="0">
                  <c:v>Ldg CG</c:v>
                </c:pt>
              </c:strCache>
            </c:strRef>
          </c:tx>
          <c:spPr>
            <a:ln w="19050" cap="rnd">
              <a:solidFill>
                <a:schemeClr val="accent4"/>
              </a:solidFill>
              <a:round/>
            </a:ln>
            <a:effectLst/>
          </c:spPr>
          <c:marker>
            <c:symbol val="circle"/>
            <c:size val="5"/>
            <c:spPr>
              <a:solidFill>
                <a:schemeClr val="tx1"/>
              </a:solidFill>
              <a:ln w="9525">
                <a:solidFill>
                  <a:schemeClr val="accent4"/>
                </a:solidFill>
              </a:ln>
              <a:effectLst/>
            </c:spPr>
          </c:marker>
          <c:dLbls>
            <c:dLbl>
              <c:idx val="0"/>
              <c:layout>
                <c:manualLayout>
                  <c:x val="-0.19934097169073861"/>
                  <c:y val="0.12805864120285682"/>
                </c:manualLayout>
              </c:layout>
              <c:showLegendKey val="0"/>
              <c:showVal val="0"/>
              <c:showCatName val="1"/>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04F-488F-A66D-5A9E175CA154}"/>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xVal>
            <c:numRef>
              <c:f>'CG Envelope'!$D$29</c:f>
              <c:numCache>
                <c:formatCode>General</c:formatCode>
                <c:ptCount val="1"/>
                <c:pt idx="0">
                  <c:v>118.5</c:v>
                </c:pt>
              </c:numCache>
            </c:numRef>
          </c:xVal>
          <c:yVal>
            <c:numRef>
              <c:f>'CG Envelope'!$B$29</c:f>
              <c:numCache>
                <c:formatCode>General</c:formatCode>
                <c:ptCount val="1"/>
                <c:pt idx="0">
                  <c:v>2063.1999999999998</c:v>
                </c:pt>
              </c:numCache>
            </c:numRef>
          </c:yVal>
          <c:smooth val="0"/>
          <c:extLst>
            <c:ext xmlns:c16="http://schemas.microsoft.com/office/drawing/2014/chart" uri="{C3380CC4-5D6E-409C-BE32-E72D297353CC}">
              <c16:uniqueId val="{00000005-904F-488F-A66D-5A9E175CA154}"/>
            </c:ext>
          </c:extLst>
        </c:ser>
        <c:ser>
          <c:idx val="4"/>
          <c:order val="4"/>
          <c:tx>
            <c:strRef>
              <c:f>'CG Envelope'!$I$11:$J$11</c:f>
              <c:strCache>
                <c:ptCount val="1"/>
                <c:pt idx="0">
                  <c:v>External Only Table</c:v>
                </c:pt>
              </c:strCache>
            </c:strRef>
          </c:tx>
          <c:spPr>
            <a:ln w="19050" cap="rnd">
              <a:solidFill>
                <a:srgbClr val="FF0000"/>
              </a:solidFill>
              <a:round/>
            </a:ln>
            <a:effectLst/>
          </c:spPr>
          <c:marker>
            <c:symbol val="circle"/>
            <c:size val="5"/>
            <c:spPr>
              <a:solidFill>
                <a:schemeClr val="accent5"/>
              </a:solidFill>
              <a:ln w="9525">
                <a:solidFill>
                  <a:srgbClr val="FF0000"/>
                </a:solidFill>
              </a:ln>
              <a:effectLst/>
            </c:spPr>
          </c:marker>
          <c:xVal>
            <c:numRef>
              <c:f>'CG Envelope'!$I$12:$I$15</c:f>
              <c:numCache>
                <c:formatCode>General</c:formatCode>
                <c:ptCount val="4"/>
                <c:pt idx="0">
                  <c:v>106</c:v>
                </c:pt>
                <c:pt idx="1">
                  <c:v>106.9</c:v>
                </c:pt>
                <c:pt idx="2">
                  <c:v>110.8</c:v>
                </c:pt>
                <c:pt idx="3">
                  <c:v>111.4</c:v>
                </c:pt>
              </c:numCache>
            </c:numRef>
          </c:xVal>
          <c:yVal>
            <c:numRef>
              <c:f>'CG Envelope'!$J$12:$J$15</c:f>
              <c:numCache>
                <c:formatCode>General</c:formatCode>
                <c:ptCount val="4"/>
                <c:pt idx="0">
                  <c:v>3200</c:v>
                </c:pt>
                <c:pt idx="1">
                  <c:v>3350</c:v>
                </c:pt>
                <c:pt idx="2">
                  <c:v>3350</c:v>
                </c:pt>
                <c:pt idx="3">
                  <c:v>3200</c:v>
                </c:pt>
              </c:numCache>
            </c:numRef>
          </c:yVal>
          <c:smooth val="0"/>
          <c:extLst>
            <c:ext xmlns:c16="http://schemas.microsoft.com/office/drawing/2014/chart" uri="{C3380CC4-5D6E-409C-BE32-E72D297353CC}">
              <c16:uniqueId val="{00000006-904F-488F-A66D-5A9E175CA154}"/>
            </c:ext>
          </c:extLst>
        </c:ser>
        <c:ser>
          <c:idx val="5"/>
          <c:order val="5"/>
          <c:tx>
            <c:strRef>
              <c:f>'CG Envelope'!$D$26</c:f>
              <c:strCache>
                <c:ptCount val="1"/>
                <c:pt idx="0">
                  <c:v>External CG</c:v>
                </c:pt>
              </c:strCache>
            </c:strRef>
          </c:tx>
          <c:spPr>
            <a:ln w="19050" cap="rnd">
              <a:solidFill>
                <a:schemeClr val="accent6"/>
              </a:solidFill>
              <a:round/>
            </a:ln>
            <a:effectLst/>
          </c:spPr>
          <c:marker>
            <c:symbol val="circle"/>
            <c:size val="5"/>
            <c:spPr>
              <a:solidFill>
                <a:schemeClr val="tx1"/>
              </a:solidFill>
              <a:ln w="9525">
                <a:solidFill>
                  <a:schemeClr val="accent6"/>
                </a:solidFill>
              </a:ln>
              <a:effectLst/>
            </c:spPr>
          </c:marker>
          <c:dLbls>
            <c:dLbl>
              <c:idx val="0"/>
              <c:layout>
                <c:manualLayout>
                  <c:x val="-0.24039566208976493"/>
                  <c:y val="1.8906535319342945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1"/>
              <c:showPercent val="0"/>
              <c:showBubbleSize val="0"/>
              <c:extLst>
                <c:ext xmlns:c15="http://schemas.microsoft.com/office/drawing/2012/chart" uri="{CE6537A1-D6FC-4f65-9D91-7224C49458BB}">
                  <c15:layout>
                    <c:manualLayout>
                      <c:w val="0.24399453975462157"/>
                      <c:h val="5.2824859682245158E-2"/>
                    </c:manualLayout>
                  </c15:layout>
                </c:ext>
                <c:ext xmlns:c16="http://schemas.microsoft.com/office/drawing/2014/chart" uri="{C3380CC4-5D6E-409C-BE32-E72D297353CC}">
                  <c16:uniqueId val="{00000007-904F-488F-A66D-5A9E175CA1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'CG Envelope'!$D$27</c:f>
            </c:numRef>
          </c:xVal>
          <c:yVal>
            <c:numRef>
              <c:f>'CG Envelope'!$B$27</c:f>
              <c:numCache>
                <c:formatCode>General</c:formatCode>
                <c:ptCount val="1"/>
                <c:pt idx="0">
                  <c:v>0</c:v>
                </c:pt>
              </c:numCache>
            </c:numRef>
          </c:yVal>
          <c:smooth val="0"/>
          <c:extLst>
            <c:ext xmlns:c16="http://schemas.microsoft.com/office/drawing/2014/chart" uri="{C3380CC4-5D6E-409C-BE32-E72D297353CC}">
              <c16:uniqueId val="{00000008-904F-488F-A66D-5A9E175CA154}"/>
            </c:ext>
          </c:extLst>
        </c:ser>
        <c:dLbls>
          <c:showLegendKey val="0"/>
          <c:showVal val="0"/>
          <c:showCatName val="0"/>
          <c:showSerName val="0"/>
          <c:showPercent val="0"/>
          <c:showBubbleSize val="0"/>
        </c:dLbls>
        <c:axId val="574330984"/>
        <c:axId val="574326720"/>
      </c:scatterChart>
      <c:valAx>
        <c:axId val="574330984"/>
        <c:scaling>
          <c:orientation val="minMax"/>
          <c:min val="105"/>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326720"/>
        <c:crosses val="autoZero"/>
        <c:crossBetween val="midCat"/>
      </c:valAx>
      <c:valAx>
        <c:axId val="574326720"/>
        <c:scaling>
          <c:orientation val="minMax"/>
          <c:min val="2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330984"/>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Trendlines for HIGE vs.</a:t>
            </a:r>
            <a:r>
              <a:rPr lang="en-US" baseline="0"/>
              <a:t> HOGE Q found on HIGE/HOGE chart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PA_DA_HIGE_HOGE!$AQ$2</c:f>
              <c:strCache>
                <c:ptCount val="1"/>
                <c:pt idx="0">
                  <c:v>2 ft Height</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5554621258114898"/>
                  <c:y val="5.7780285445581295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PA_DA_HIGE_HOGE!$AQ$4:$AQ$5</c:f>
              <c:numCache>
                <c:formatCode>General</c:formatCode>
                <c:ptCount val="2"/>
                <c:pt idx="0">
                  <c:v>140.10007999999999</c:v>
                </c:pt>
                <c:pt idx="1">
                  <c:v>52.469099999999997</c:v>
                </c:pt>
              </c:numCache>
            </c:numRef>
          </c:xVal>
          <c:yVal>
            <c:numRef>
              <c:f>PA_DA_HIGE_HOGE!$AR$4:$AR$5</c:f>
              <c:numCache>
                <c:formatCode>General</c:formatCode>
                <c:ptCount val="2"/>
                <c:pt idx="0">
                  <c:v>106.2938</c:v>
                </c:pt>
                <c:pt idx="1">
                  <c:v>43.242092</c:v>
                </c:pt>
              </c:numCache>
            </c:numRef>
          </c:yVal>
          <c:smooth val="0"/>
          <c:extLst>
            <c:ext xmlns:c16="http://schemas.microsoft.com/office/drawing/2014/chart" uri="{C3380CC4-5D6E-409C-BE32-E72D297353CC}">
              <c16:uniqueId val="{00000002-A698-4DB7-B44F-A461C1E3E9B9}"/>
            </c:ext>
          </c:extLst>
        </c:ser>
        <c:ser>
          <c:idx val="1"/>
          <c:order val="1"/>
          <c:tx>
            <c:strRef>
              <c:f>PA_DA_HIGE_HOGE!$AS$2</c:f>
              <c:strCache>
                <c:ptCount val="1"/>
                <c:pt idx="0">
                  <c:v>4 ft Height</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1"/>
            <c:dispEq val="1"/>
            <c:trendlineLbl>
              <c:layout>
                <c:manualLayout>
                  <c:x val="0.15479852727302218"/>
                  <c:y val="-3.1435638617099831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PA_DA_HIGE_HOGE!$AS$4:$AS$5</c:f>
              <c:numCache>
                <c:formatCode>General</c:formatCode>
                <c:ptCount val="2"/>
                <c:pt idx="0">
                  <c:v>140.04347000000001</c:v>
                </c:pt>
                <c:pt idx="1">
                  <c:v>52.481389999999998</c:v>
                </c:pt>
              </c:numCache>
            </c:numRef>
          </c:xVal>
          <c:yVal>
            <c:numRef>
              <c:f>PA_DA_HIGE_HOGE!$AT$4:$AT$5</c:f>
              <c:numCache>
                <c:formatCode>General</c:formatCode>
                <c:ptCount val="2"/>
                <c:pt idx="0">
                  <c:v>111.94748</c:v>
                </c:pt>
                <c:pt idx="1">
                  <c:v>45.487923000000002</c:v>
                </c:pt>
              </c:numCache>
            </c:numRef>
          </c:yVal>
          <c:smooth val="0"/>
          <c:extLst>
            <c:ext xmlns:c16="http://schemas.microsoft.com/office/drawing/2014/chart" uri="{C3380CC4-5D6E-409C-BE32-E72D297353CC}">
              <c16:uniqueId val="{00000003-A698-4DB7-B44F-A461C1E3E9B9}"/>
            </c:ext>
          </c:extLst>
        </c:ser>
        <c:ser>
          <c:idx val="2"/>
          <c:order val="2"/>
          <c:tx>
            <c:strRef>
              <c:f>PA_DA_HIGE_HOGE!$AU$2</c:f>
              <c:strCache>
                <c:ptCount val="1"/>
                <c:pt idx="0">
                  <c:v>10 ft Height</c:v>
                </c:pt>
              </c:strCache>
            </c:strRef>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1"/>
            <c:dispEq val="1"/>
            <c:trendlineLbl>
              <c:layout>
                <c:manualLayout>
                  <c:x val="0.1374800593885139"/>
                  <c:y val="-0.13037115168555416"/>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PA_DA_HIGE_HOGE!$AU$4:$AU$5</c:f>
              <c:numCache>
                <c:formatCode>General</c:formatCode>
                <c:ptCount val="2"/>
                <c:pt idx="0">
                  <c:v>135.44630000000001</c:v>
                </c:pt>
                <c:pt idx="1">
                  <c:v>52.510204000000002</c:v>
                </c:pt>
              </c:numCache>
            </c:numRef>
          </c:xVal>
          <c:yVal>
            <c:numRef>
              <c:f>PA_DA_HIGE_HOGE!$AV$4:$AV$5</c:f>
              <c:numCache>
                <c:formatCode>General</c:formatCode>
                <c:ptCount val="2"/>
                <c:pt idx="0">
                  <c:v>119.78904</c:v>
                </c:pt>
                <c:pt idx="1">
                  <c:v>50.754016999999997</c:v>
                </c:pt>
              </c:numCache>
            </c:numRef>
          </c:yVal>
          <c:smooth val="0"/>
          <c:extLst>
            <c:ext xmlns:c16="http://schemas.microsoft.com/office/drawing/2014/chart" uri="{C3380CC4-5D6E-409C-BE32-E72D297353CC}">
              <c16:uniqueId val="{00000004-A698-4DB7-B44F-A461C1E3E9B9}"/>
            </c:ext>
          </c:extLst>
        </c:ser>
        <c:ser>
          <c:idx val="3"/>
          <c:order val="3"/>
          <c:tx>
            <c:strRef>
              <c:f>PA_DA_HIGE_HOGE!$AW$2</c:f>
              <c:strCache>
                <c:ptCount val="1"/>
                <c:pt idx="0">
                  <c:v>15 ft Height</c:v>
                </c:pt>
              </c:strCache>
            </c:strRef>
          </c:tx>
          <c:spPr>
            <a:ln w="25400" cap="rnd">
              <a:no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linear"/>
            <c:dispRSqr val="1"/>
            <c:dispEq val="1"/>
            <c:trendlineLbl>
              <c:layout>
                <c:manualLayout>
                  <c:x val="-4.321277610053012E-2"/>
                  <c:y val="-7.2585999110852298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PA_DA_HIGE_HOGE!$AW$4:$AW$5</c:f>
              <c:numCache>
                <c:formatCode>General</c:formatCode>
                <c:ptCount val="2"/>
                <c:pt idx="0">
                  <c:v>130.54327000000001</c:v>
                </c:pt>
                <c:pt idx="1">
                  <c:v>51.462612</c:v>
                </c:pt>
              </c:numCache>
            </c:numRef>
          </c:xVal>
          <c:yVal>
            <c:numRef>
              <c:f>PA_DA_HIGE_HOGE!$AX$4:$AX$5</c:f>
              <c:numCache>
                <c:formatCode>General</c:formatCode>
                <c:ptCount val="2"/>
                <c:pt idx="0">
                  <c:v>119.73259</c:v>
                </c:pt>
                <c:pt idx="1">
                  <c:v>51.300609999999999</c:v>
                </c:pt>
              </c:numCache>
            </c:numRef>
          </c:yVal>
          <c:smooth val="0"/>
          <c:extLst>
            <c:ext xmlns:c16="http://schemas.microsoft.com/office/drawing/2014/chart" uri="{C3380CC4-5D6E-409C-BE32-E72D297353CC}">
              <c16:uniqueId val="{00000005-A698-4DB7-B44F-A461C1E3E9B9}"/>
            </c:ext>
          </c:extLst>
        </c:ser>
        <c:dLbls>
          <c:showLegendKey val="0"/>
          <c:showVal val="0"/>
          <c:showCatName val="0"/>
          <c:showSerName val="0"/>
          <c:showPercent val="0"/>
          <c:showBubbleSize val="0"/>
        </c:dLbls>
        <c:axId val="621734664"/>
        <c:axId val="621734992"/>
      </c:scatterChart>
      <c:valAx>
        <c:axId val="6217346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HOGE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1734992"/>
        <c:crosses val="autoZero"/>
        <c:crossBetween val="midCat"/>
      </c:valAx>
      <c:valAx>
        <c:axId val="6217349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HIGE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173466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Current DA HIGE</a:t>
            </a:r>
            <a:r>
              <a:rPr lang="en-US" baseline="0"/>
              <a:t> v. HOGE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PA_DA_HIGE_HOGE!$AO$22</c:f>
              <c:strCache>
                <c:ptCount val="1"/>
                <c:pt idx="0">
                  <c:v>2</c:v>
                </c:pt>
              </c:strCache>
            </c:strRef>
          </c:tx>
          <c:spPr>
            <a:ln w="25400" cap="rnd">
              <a:noFill/>
              <a:round/>
            </a:ln>
            <a:effectLst/>
          </c:spPr>
          <c:marker>
            <c:symbol val="circle"/>
            <c:size val="5"/>
            <c:spPr>
              <a:solidFill>
                <a:schemeClr val="accent1"/>
              </a:solidFill>
              <a:ln w="9525">
                <a:solidFill>
                  <a:schemeClr val="accent1"/>
                </a:solidFill>
              </a:ln>
              <a:effectLst/>
            </c:spPr>
          </c:marker>
          <c:xVal>
            <c:numRef>
              <c:f>PA_DA_HIGE_HOGE!$AN$23:$AN$30</c:f>
              <c:numCache>
                <c:formatCode>General</c:formatCode>
                <c:ptCount val="8"/>
                <c:pt idx="0">
                  <c:v>100.14656677000001</c:v>
                </c:pt>
                <c:pt idx="1">
                  <c:v>94.132396959999994</c:v>
                </c:pt>
                <c:pt idx="2">
                  <c:v>86.296034480000003</c:v>
                </c:pt>
                <c:pt idx="3">
                  <c:v>78.69815045</c:v>
                </c:pt>
                <c:pt idx="4">
                  <c:v>71.070287140000005</c:v>
                </c:pt>
                <c:pt idx="5">
                  <c:v>64.632711929999999</c:v>
                </c:pt>
                <c:pt idx="6">
                  <c:v>58.462652949999999</c:v>
                </c:pt>
                <c:pt idx="7">
                  <c:v>51.317316529999999</c:v>
                </c:pt>
              </c:numCache>
            </c:numRef>
          </c:xVal>
          <c:yVal>
            <c:numRef>
              <c:f>PA_DA_HIGE_HOGE!$AO$23:$AO$30</c:f>
              <c:numCache>
                <c:formatCode>General</c:formatCode>
                <c:ptCount val="8"/>
                <c:pt idx="0">
                  <c:v>93.424524226081004</c:v>
                </c:pt>
                <c:pt idx="1">
                  <c:v>88.220463089487993</c:v>
                </c:pt>
                <c:pt idx="2">
                  <c:v>81.439658635544006</c:v>
                </c:pt>
                <c:pt idx="3">
                  <c:v>74.865209584384999</c:v>
                </c:pt>
                <c:pt idx="4">
                  <c:v>68.264819462242002</c:v>
                </c:pt>
                <c:pt idx="5">
                  <c:v>62.694385633028993</c:v>
                </c:pt>
                <c:pt idx="6">
                  <c:v>57.355433597634992</c:v>
                </c:pt>
                <c:pt idx="7">
                  <c:v>51.172573993408996</c:v>
                </c:pt>
              </c:numCache>
            </c:numRef>
          </c:yVal>
          <c:smooth val="0"/>
          <c:extLst>
            <c:ext xmlns:c16="http://schemas.microsoft.com/office/drawing/2014/chart" uri="{C3380CC4-5D6E-409C-BE32-E72D297353CC}">
              <c16:uniqueId val="{00000000-23E3-4F75-BCE6-01187F06720B}"/>
            </c:ext>
          </c:extLst>
        </c:ser>
        <c:ser>
          <c:idx val="1"/>
          <c:order val="1"/>
          <c:tx>
            <c:strRef>
              <c:f>PA_DA_HIGE_HOGE!$AP$22</c:f>
              <c:strCache>
                <c:ptCount val="1"/>
                <c:pt idx="0">
                  <c:v>4</c:v>
                </c:pt>
              </c:strCache>
            </c:strRef>
          </c:tx>
          <c:spPr>
            <a:ln w="25400" cap="rnd">
              <a:noFill/>
              <a:round/>
            </a:ln>
            <a:effectLst/>
          </c:spPr>
          <c:marker>
            <c:symbol val="circle"/>
            <c:size val="5"/>
            <c:spPr>
              <a:solidFill>
                <a:schemeClr val="accent2"/>
              </a:solidFill>
              <a:ln w="9525">
                <a:solidFill>
                  <a:schemeClr val="accent2"/>
                </a:solidFill>
              </a:ln>
              <a:effectLst/>
            </c:spPr>
          </c:marker>
          <c:xVal>
            <c:numRef>
              <c:f>PA_DA_HIGE_HOGE!$AN$23:$AN$30</c:f>
              <c:numCache>
                <c:formatCode>General</c:formatCode>
                <c:ptCount val="8"/>
                <c:pt idx="0">
                  <c:v>100.14656677000001</c:v>
                </c:pt>
                <c:pt idx="1">
                  <c:v>94.132396959999994</c:v>
                </c:pt>
                <c:pt idx="2">
                  <c:v>86.296034480000003</c:v>
                </c:pt>
                <c:pt idx="3">
                  <c:v>78.69815045</c:v>
                </c:pt>
                <c:pt idx="4">
                  <c:v>71.070287140000005</c:v>
                </c:pt>
                <c:pt idx="5">
                  <c:v>64.632711929999999</c:v>
                </c:pt>
                <c:pt idx="6">
                  <c:v>58.462652949999999</c:v>
                </c:pt>
                <c:pt idx="7">
                  <c:v>51.317316529999999</c:v>
                </c:pt>
              </c:numCache>
            </c:numRef>
          </c:xVal>
          <c:yVal>
            <c:numRef>
              <c:f>PA_DA_HIGE_HOGE!$AP$23:$AP$30</c:f>
              <c:numCache>
                <c:formatCode>General</c:formatCode>
                <c:ptCount val="8"/>
                <c:pt idx="0">
                  <c:v>90.407102179348016</c:v>
                </c:pt>
                <c:pt idx="1">
                  <c:v>85.400907229504</c:v>
                </c:pt>
                <c:pt idx="2">
                  <c:v>78.877919101152017</c:v>
                </c:pt>
                <c:pt idx="3">
                  <c:v>72.553440434580011</c:v>
                </c:pt>
                <c:pt idx="4">
                  <c:v>66.204007015336003</c:v>
                </c:pt>
                <c:pt idx="5">
                  <c:v>60.845369410532001</c:v>
                </c:pt>
                <c:pt idx="6">
                  <c:v>55.709412315579996</c:v>
                </c:pt>
                <c:pt idx="7">
                  <c:v>49.761634279572</c:v>
                </c:pt>
              </c:numCache>
            </c:numRef>
          </c:yVal>
          <c:smooth val="0"/>
          <c:extLst>
            <c:ext xmlns:c16="http://schemas.microsoft.com/office/drawing/2014/chart" uri="{C3380CC4-5D6E-409C-BE32-E72D297353CC}">
              <c16:uniqueId val="{00000001-23E3-4F75-BCE6-01187F06720B}"/>
            </c:ext>
          </c:extLst>
        </c:ser>
        <c:ser>
          <c:idx val="2"/>
          <c:order val="2"/>
          <c:tx>
            <c:strRef>
              <c:f>PA_DA_HIGE_HOGE!$AQ$22</c:f>
              <c:strCache>
                <c:ptCount val="1"/>
                <c:pt idx="0">
                  <c:v>5</c:v>
                </c:pt>
              </c:strCache>
            </c:strRef>
          </c:tx>
          <c:spPr>
            <a:ln w="25400" cap="rnd">
              <a:noFill/>
              <a:round/>
            </a:ln>
            <a:effectLst/>
          </c:spPr>
          <c:marker>
            <c:symbol val="circle"/>
            <c:size val="5"/>
            <c:spPr>
              <a:solidFill>
                <a:schemeClr val="accent3"/>
              </a:solidFill>
              <a:ln w="9525">
                <a:solidFill>
                  <a:schemeClr val="accent3"/>
                </a:solidFill>
              </a:ln>
              <a:effectLst/>
            </c:spPr>
          </c:marker>
          <c:xVal>
            <c:numRef>
              <c:f>PA_DA_HIGE_HOGE!$AN$23:$AN$30</c:f>
              <c:numCache>
                <c:formatCode>General</c:formatCode>
                <c:ptCount val="8"/>
                <c:pt idx="0">
                  <c:v>100.14656677000001</c:v>
                </c:pt>
                <c:pt idx="1">
                  <c:v>94.132396959999994</c:v>
                </c:pt>
                <c:pt idx="2">
                  <c:v>86.296034480000003</c:v>
                </c:pt>
                <c:pt idx="3">
                  <c:v>78.69815045</c:v>
                </c:pt>
                <c:pt idx="4">
                  <c:v>71.070287140000005</c:v>
                </c:pt>
                <c:pt idx="5">
                  <c:v>64.632711929999999</c:v>
                </c:pt>
                <c:pt idx="6">
                  <c:v>58.462652949999999</c:v>
                </c:pt>
                <c:pt idx="7">
                  <c:v>51.317316529999999</c:v>
                </c:pt>
              </c:numCache>
            </c:numRef>
          </c:xVal>
          <c:yVal>
            <c:numRef>
              <c:f>PA_DA_HIGE_HOGE!$AQ$23:$AQ$30</c:f>
              <c:numCache>
                <c:formatCode>General</c:formatCode>
                <c:ptCount val="8"/>
                <c:pt idx="0">
                  <c:v>88.950225845861681</c:v>
                </c:pt>
                <c:pt idx="1">
                  <c:v>84.017604240026671</c:v>
                </c:pt>
                <c:pt idx="2">
                  <c:v>77.590480946013344</c:v>
                </c:pt>
                <c:pt idx="3">
                  <c:v>71.358949727408344</c:v>
                </c:pt>
                <c:pt idx="4">
                  <c:v>65.102830502656673</c:v>
                </c:pt>
                <c:pt idx="5">
                  <c:v>59.822945901255004</c:v>
                </c:pt>
                <c:pt idx="6">
                  <c:v>54.762469194491665</c:v>
                </c:pt>
                <c:pt idx="7">
                  <c:v>48.902102440688331</c:v>
                </c:pt>
              </c:numCache>
            </c:numRef>
          </c:yVal>
          <c:smooth val="0"/>
          <c:extLst>
            <c:ext xmlns:c16="http://schemas.microsoft.com/office/drawing/2014/chart" uri="{C3380CC4-5D6E-409C-BE32-E72D297353CC}">
              <c16:uniqueId val="{00000002-23E3-4F75-BCE6-01187F06720B}"/>
            </c:ext>
          </c:extLst>
        </c:ser>
        <c:ser>
          <c:idx val="3"/>
          <c:order val="3"/>
          <c:tx>
            <c:strRef>
              <c:f>PA_DA_HIGE_HOGE!$AR$22</c:f>
              <c:strCache>
                <c:ptCount val="1"/>
                <c:pt idx="0">
                  <c:v>10</c:v>
                </c:pt>
              </c:strCache>
            </c:strRef>
          </c:tx>
          <c:spPr>
            <a:ln w="25400" cap="rnd">
              <a:noFill/>
              <a:round/>
            </a:ln>
            <a:effectLst/>
          </c:spPr>
          <c:marker>
            <c:symbol val="circle"/>
            <c:size val="5"/>
            <c:spPr>
              <a:solidFill>
                <a:schemeClr val="accent4"/>
              </a:solidFill>
              <a:ln w="9525">
                <a:solidFill>
                  <a:schemeClr val="accent4"/>
                </a:solidFill>
              </a:ln>
              <a:effectLst/>
            </c:spPr>
          </c:marker>
          <c:xVal>
            <c:numRef>
              <c:f>PA_DA_HIGE_HOGE!$AN$23:$AN$30</c:f>
              <c:numCache>
                <c:formatCode>General</c:formatCode>
                <c:ptCount val="8"/>
                <c:pt idx="0">
                  <c:v>100.14656677000001</c:v>
                </c:pt>
                <c:pt idx="1">
                  <c:v>94.132396959999994</c:v>
                </c:pt>
                <c:pt idx="2">
                  <c:v>86.296034480000003</c:v>
                </c:pt>
                <c:pt idx="3">
                  <c:v>78.69815045</c:v>
                </c:pt>
                <c:pt idx="4">
                  <c:v>71.070287140000005</c:v>
                </c:pt>
                <c:pt idx="5">
                  <c:v>64.632711929999999</c:v>
                </c:pt>
                <c:pt idx="6">
                  <c:v>58.462652949999999</c:v>
                </c:pt>
                <c:pt idx="7">
                  <c:v>51.317316529999999</c:v>
                </c:pt>
              </c:numCache>
            </c:numRef>
          </c:xVal>
          <c:yVal>
            <c:numRef>
              <c:f>PA_DA_HIGE_HOGE!$AR$23:$AR$30</c:f>
              <c:numCache>
                <c:formatCode>General</c:formatCode>
                <c:ptCount val="8"/>
                <c:pt idx="0">
                  <c:v>81.665844178430007</c:v>
                </c:pt>
                <c:pt idx="1">
                  <c:v>77.101089292639998</c:v>
                </c:pt>
                <c:pt idx="2">
                  <c:v>71.153290170320005</c:v>
                </c:pt>
                <c:pt idx="3">
                  <c:v>65.386496191549995</c:v>
                </c:pt>
                <c:pt idx="4">
                  <c:v>59.596947939260005</c:v>
                </c:pt>
                <c:pt idx="5">
                  <c:v>54.710828354870003</c:v>
                </c:pt>
                <c:pt idx="6">
                  <c:v>50.02775358905</c:v>
                </c:pt>
                <c:pt idx="7">
                  <c:v>44.604443246270002</c:v>
                </c:pt>
              </c:numCache>
            </c:numRef>
          </c:yVal>
          <c:smooth val="0"/>
          <c:extLst>
            <c:ext xmlns:c16="http://schemas.microsoft.com/office/drawing/2014/chart" uri="{C3380CC4-5D6E-409C-BE32-E72D297353CC}">
              <c16:uniqueId val="{00000003-23E3-4F75-BCE6-01187F06720B}"/>
            </c:ext>
          </c:extLst>
        </c:ser>
        <c:ser>
          <c:idx val="4"/>
          <c:order val="4"/>
          <c:tx>
            <c:strRef>
              <c:f>PA_DA_HIGE_HOGE!$AS$22</c:f>
              <c:strCache>
                <c:ptCount val="1"/>
                <c:pt idx="0">
                  <c:v>15</c:v>
                </c:pt>
              </c:strCache>
            </c:strRef>
          </c:tx>
          <c:spPr>
            <a:ln w="25400" cap="rnd">
              <a:noFill/>
              <a:round/>
            </a:ln>
            <a:effectLst/>
          </c:spPr>
          <c:marker>
            <c:symbol val="circle"/>
            <c:size val="5"/>
            <c:spPr>
              <a:solidFill>
                <a:schemeClr val="accent5"/>
              </a:solidFill>
              <a:ln w="9525">
                <a:solidFill>
                  <a:schemeClr val="accent5"/>
                </a:solidFill>
              </a:ln>
              <a:effectLst/>
            </c:spPr>
          </c:marker>
          <c:xVal>
            <c:numRef>
              <c:f>PA_DA_HIGE_HOGE!$AN$23:$AN$30</c:f>
              <c:numCache>
                <c:formatCode>General</c:formatCode>
                <c:ptCount val="8"/>
                <c:pt idx="0">
                  <c:v>100.14656677000001</c:v>
                </c:pt>
                <c:pt idx="1">
                  <c:v>94.132396959999994</c:v>
                </c:pt>
                <c:pt idx="2">
                  <c:v>86.296034480000003</c:v>
                </c:pt>
                <c:pt idx="3">
                  <c:v>78.69815045</c:v>
                </c:pt>
                <c:pt idx="4">
                  <c:v>71.070287140000005</c:v>
                </c:pt>
                <c:pt idx="5">
                  <c:v>64.632711929999999</c:v>
                </c:pt>
                <c:pt idx="6">
                  <c:v>58.462652949999999</c:v>
                </c:pt>
                <c:pt idx="7">
                  <c:v>51.317316529999999</c:v>
                </c:pt>
              </c:numCache>
            </c:numRef>
          </c:xVal>
          <c:yVal>
            <c:numRef>
              <c:f>PA_DA_HIGE_HOGE!$AS$23:$AS$30</c:f>
              <c:numCache>
                <c:formatCode>General</c:formatCode>
                <c:ptCount val="8"/>
                <c:pt idx="0">
                  <c:v>77.545254791015012</c:v>
                </c:pt>
                <c:pt idx="1">
                  <c:v>73.218059612719998</c:v>
                </c:pt>
                <c:pt idx="2">
                  <c:v>67.579796808360001</c:v>
                </c:pt>
                <c:pt idx="3">
                  <c:v>62.113119248775007</c:v>
                </c:pt>
                <c:pt idx="4">
                  <c:v>56.624871597230005</c:v>
                </c:pt>
                <c:pt idx="5">
                  <c:v>51.993036233635003</c:v>
                </c:pt>
                <c:pt idx="6">
                  <c:v>47.553678797525002</c:v>
                </c:pt>
                <c:pt idx="7">
                  <c:v>42.412609243335005</c:v>
                </c:pt>
              </c:numCache>
            </c:numRef>
          </c:yVal>
          <c:smooth val="0"/>
          <c:extLst>
            <c:ext xmlns:c16="http://schemas.microsoft.com/office/drawing/2014/chart" uri="{C3380CC4-5D6E-409C-BE32-E72D297353CC}">
              <c16:uniqueId val="{00000004-23E3-4F75-BCE6-01187F06720B}"/>
            </c:ext>
          </c:extLst>
        </c:ser>
        <c:dLbls>
          <c:showLegendKey val="0"/>
          <c:showVal val="0"/>
          <c:showCatName val="0"/>
          <c:showSerName val="0"/>
          <c:showPercent val="0"/>
          <c:showBubbleSize val="0"/>
        </c:dLbls>
        <c:axId val="435706168"/>
        <c:axId val="435706824"/>
      </c:scatterChart>
      <c:valAx>
        <c:axId val="435706168"/>
        <c:scaling>
          <c:orientation val="minMax"/>
          <c:max val="110"/>
          <c:min val="4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HOGE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5706824"/>
        <c:crosses val="autoZero"/>
        <c:crossBetween val="midCat"/>
      </c:valAx>
      <c:valAx>
        <c:axId val="435706824"/>
        <c:scaling>
          <c:orientation val="minMax"/>
          <c:max val="100"/>
          <c:min val="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HIGE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5706168"/>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14704986996443"/>
          <c:y val="8.2393700787401589E-2"/>
          <c:w val="0.67377291065514922"/>
          <c:h val="0.59761778215223094"/>
        </c:manualLayout>
      </c:layout>
      <c:radarChart>
        <c:radarStyle val="marker"/>
        <c:varyColors val="0"/>
        <c:ser>
          <c:idx val="0"/>
          <c:order val="0"/>
          <c:tx>
            <c:strRef>
              <c:f>Data!$Z$29</c:f>
              <c:strCache>
                <c:ptCount val="1"/>
                <c:pt idx="0">
                  <c:v>Knots Permitted Steady</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Data!$Y$30:$Y$65</c:f>
              <c:numCache>
                <c:formatCode>General</c:formatCode>
                <c:ptCount val="36"/>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numCache>
            </c:numRef>
          </c:cat>
          <c:val>
            <c:numRef>
              <c:f>Data!$Z$30:$Z$65</c:f>
              <c:numCache>
                <c:formatCode>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4D3E-406D-BB61-1476A7C76F8A}"/>
            </c:ext>
          </c:extLst>
        </c:ser>
        <c:ser>
          <c:idx val="3"/>
          <c:order val="1"/>
          <c:tx>
            <c:strRef>
              <c:f>Data!$AA$29</c:f>
              <c:strCache>
                <c:ptCount val="1"/>
                <c:pt idx="0">
                  <c:v>Knots Permitted Gust</c:v>
                </c:pt>
              </c:strCache>
            </c:strRef>
          </c:tx>
          <c:spPr>
            <a:ln w="28575" cap="rnd">
              <a:solidFill>
                <a:schemeClr val="accent4"/>
              </a:solidFill>
              <a:prstDash val="sysDot"/>
              <a:round/>
            </a:ln>
            <a:effectLst/>
          </c:spPr>
          <c:marker>
            <c:symbol val="circle"/>
            <c:size val="5"/>
            <c:spPr>
              <a:solidFill>
                <a:schemeClr val="accent4"/>
              </a:solidFill>
              <a:ln w="9525">
                <a:solidFill>
                  <a:schemeClr val="accent4"/>
                </a:solidFill>
                <a:prstDash val="sysDot"/>
              </a:ln>
              <a:effectLst/>
            </c:spPr>
          </c:marker>
          <c:cat>
            <c:numRef>
              <c:f>Data!$Y$30:$Y$65</c:f>
              <c:numCache>
                <c:formatCode>General</c:formatCode>
                <c:ptCount val="36"/>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numCache>
            </c:numRef>
          </c:cat>
          <c:val>
            <c:numRef>
              <c:f>Data!$AA$30:$AA$65</c:f>
              <c:numCache>
                <c:formatCode>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4D3E-406D-BB61-1476A7C76F8A}"/>
            </c:ext>
          </c:extLst>
        </c:ser>
        <c:ser>
          <c:idx val="1"/>
          <c:order val="2"/>
          <c:tx>
            <c:strRef>
              <c:f>Data!$AB$29</c:f>
              <c:strCache>
                <c:ptCount val="1"/>
                <c:pt idx="0">
                  <c:v>Knots Actual Steady</c:v>
                </c:pt>
              </c:strCache>
            </c:strRef>
          </c:tx>
          <c:spPr>
            <a:ln w="28575" cap="rnd">
              <a:solidFill>
                <a:schemeClr val="accent2"/>
              </a:solidFill>
              <a:prstDash val="dashDot"/>
              <a:round/>
            </a:ln>
            <a:effectLst/>
          </c:spPr>
          <c:marker>
            <c:symbol val="circle"/>
            <c:size val="5"/>
            <c:spPr>
              <a:solidFill>
                <a:schemeClr val="accent2"/>
              </a:solidFill>
              <a:ln w="9525">
                <a:solidFill>
                  <a:schemeClr val="accent2"/>
                </a:solidFill>
                <a:prstDash val="dashDot"/>
              </a:ln>
              <a:effectLst/>
            </c:spPr>
          </c:marker>
          <c:cat>
            <c:numRef>
              <c:f>Data!$Y$30:$Y$65</c:f>
              <c:numCache>
                <c:formatCode>General</c:formatCode>
                <c:ptCount val="36"/>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numCache>
            </c:numRef>
          </c:cat>
          <c:val>
            <c:numRef>
              <c:f>Data!$AB$30:$AB$65</c:f>
              <c:numCache>
                <c:formatCode>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2-4D3E-406D-BB61-1476A7C76F8A}"/>
            </c:ext>
          </c:extLst>
        </c:ser>
        <c:ser>
          <c:idx val="2"/>
          <c:order val="3"/>
          <c:tx>
            <c:strRef>
              <c:f>Data!$AC$29</c:f>
              <c:strCache>
                <c:ptCount val="1"/>
                <c:pt idx="0">
                  <c:v>Knots Actual Gust</c:v>
                </c:pt>
              </c:strCache>
            </c:strRef>
          </c:tx>
          <c:spPr>
            <a:ln w="28575" cap="rnd">
              <a:solidFill>
                <a:schemeClr val="accent3"/>
              </a:solidFill>
              <a:round/>
            </a:ln>
            <a:effectLst/>
          </c:spPr>
          <c:marker>
            <c:symbol val="circle"/>
            <c:size val="5"/>
            <c:spPr>
              <a:solidFill>
                <a:schemeClr val="accent3"/>
              </a:solidFill>
              <a:ln w="9525">
                <a:solidFill>
                  <a:schemeClr val="tx1"/>
                </a:solidFill>
              </a:ln>
              <a:effectLst/>
            </c:spPr>
          </c:marker>
          <c:cat>
            <c:numRef>
              <c:f>Data!$Y$30:$Y$65</c:f>
              <c:numCache>
                <c:formatCode>General</c:formatCode>
                <c:ptCount val="36"/>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numCache>
            </c:numRef>
          </c:cat>
          <c:val>
            <c:numRef>
              <c:f>Data!$AC$30:$AC$65</c:f>
              <c:numCache>
                <c:formatCode>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3-4D3E-406D-BB61-1476A7C76F8A}"/>
            </c:ext>
          </c:extLst>
        </c:ser>
        <c:dLbls>
          <c:showLegendKey val="0"/>
          <c:showVal val="0"/>
          <c:showCatName val="0"/>
          <c:showSerName val="0"/>
          <c:showPercent val="0"/>
          <c:showBubbleSize val="0"/>
        </c:dLbls>
        <c:axId val="514983288"/>
        <c:axId val="514984928"/>
      </c:radarChart>
      <c:catAx>
        <c:axId val="514983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514984928"/>
        <c:crosses val="autoZero"/>
        <c:auto val="1"/>
        <c:lblAlgn val="ctr"/>
        <c:lblOffset val="100"/>
        <c:noMultiLvlLbl val="0"/>
      </c:catAx>
      <c:valAx>
        <c:axId val="514984928"/>
        <c:scaling>
          <c:orientation val="minMax"/>
          <c:max val="35"/>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4983288"/>
        <c:crosses val="autoZero"/>
        <c:crossBetween val="between"/>
        <c:majorUnit val="10"/>
        <c:minorUnit val="5"/>
      </c:valAx>
      <c:spPr>
        <a:noFill/>
        <a:ln>
          <a:noFill/>
        </a:ln>
        <a:effectLst/>
      </c:spPr>
    </c:plotArea>
    <c:legend>
      <c:legendPos val="b"/>
      <c:layout>
        <c:manualLayout>
          <c:xMode val="edge"/>
          <c:yMode val="edge"/>
          <c:x val="2.0218302927585127E-2"/>
          <c:y val="0.76636264289459133"/>
          <c:w val="0.96895865382943758"/>
          <c:h val="0.2062180040078314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'CG Envelope'!$E$3:$F$3</c:f>
              <c:strCache>
                <c:ptCount val="1"/>
                <c:pt idx="0">
                  <c:v>FCS Off</c:v>
                </c:pt>
              </c:strCache>
            </c:strRef>
          </c:tx>
          <c:spPr>
            <a:ln w="19050" cap="rnd">
              <a:solidFill>
                <a:srgbClr val="7030A0"/>
              </a:solidFill>
              <a:round/>
            </a:ln>
            <a:effectLst/>
          </c:spPr>
          <c:marker>
            <c:symbol val="circle"/>
            <c:size val="5"/>
            <c:spPr>
              <a:solidFill>
                <a:schemeClr val="accent1"/>
              </a:solidFill>
              <a:ln w="9525">
                <a:solidFill>
                  <a:srgbClr val="7030A0"/>
                </a:solidFill>
              </a:ln>
              <a:effectLst/>
            </c:spPr>
          </c:marker>
          <c:xVal>
            <c:numRef>
              <c:f>'CG Envelope'!$E$5:$E$9</c:f>
              <c:numCache>
                <c:formatCode>General</c:formatCode>
                <c:ptCount val="5"/>
                <c:pt idx="0">
                  <c:v>106</c:v>
                </c:pt>
                <c:pt idx="1">
                  <c:v>106</c:v>
                </c:pt>
                <c:pt idx="2">
                  <c:v>111.4</c:v>
                </c:pt>
                <c:pt idx="3">
                  <c:v>114.2</c:v>
                </c:pt>
                <c:pt idx="4">
                  <c:v>114.2</c:v>
                </c:pt>
              </c:numCache>
            </c:numRef>
          </c:xVal>
          <c:yVal>
            <c:numRef>
              <c:f>'CG Envelope'!$F$5:$F$9</c:f>
              <c:numCache>
                <c:formatCode>General</c:formatCode>
                <c:ptCount val="5"/>
                <c:pt idx="0">
                  <c:v>2000</c:v>
                </c:pt>
                <c:pt idx="1">
                  <c:v>3200</c:v>
                </c:pt>
                <c:pt idx="2">
                  <c:v>3200</c:v>
                </c:pt>
                <c:pt idx="3">
                  <c:v>2350</c:v>
                </c:pt>
                <c:pt idx="4">
                  <c:v>2000</c:v>
                </c:pt>
              </c:numCache>
            </c:numRef>
          </c:yVal>
          <c:smooth val="0"/>
          <c:extLst>
            <c:ext xmlns:c16="http://schemas.microsoft.com/office/drawing/2014/chart" uri="{C3380CC4-5D6E-409C-BE32-E72D297353CC}">
              <c16:uniqueId val="{00000000-234C-464B-8B34-CF67104642F5}"/>
            </c:ext>
          </c:extLst>
        </c:ser>
        <c:ser>
          <c:idx val="2"/>
          <c:order val="1"/>
          <c:tx>
            <c:strRef>
              <c:f>'CG Envelope'!$B$3:$C$3</c:f>
              <c:strCache>
                <c:ptCount val="1"/>
                <c:pt idx="0">
                  <c:v>FCS On</c:v>
                </c:pt>
              </c:strCache>
            </c:strRef>
          </c:tx>
          <c:spPr>
            <a:ln w="19050" cap="rnd">
              <a:solidFill>
                <a:schemeClr val="tx1"/>
              </a:solidFill>
              <a:round/>
            </a:ln>
            <a:effectLst/>
          </c:spPr>
          <c:marker>
            <c:symbol val="circle"/>
            <c:size val="5"/>
            <c:spPr>
              <a:solidFill>
                <a:schemeClr val="accent3"/>
              </a:solidFill>
              <a:ln w="9525">
                <a:solidFill>
                  <a:schemeClr val="tx1"/>
                </a:solidFill>
              </a:ln>
              <a:effectLst/>
            </c:spPr>
          </c:marker>
          <c:xVal>
            <c:numRef>
              <c:f>'CG Envelope'!$B$5:$B$10</c:f>
              <c:numCache>
                <c:formatCode>General</c:formatCode>
                <c:ptCount val="6"/>
                <c:pt idx="0">
                  <c:v>106.75</c:v>
                </c:pt>
                <c:pt idx="1">
                  <c:v>106.75</c:v>
                </c:pt>
                <c:pt idx="2">
                  <c:v>111.4</c:v>
                </c:pt>
                <c:pt idx="3">
                  <c:v>112.5</c:v>
                </c:pt>
                <c:pt idx="4">
                  <c:v>112.5</c:v>
                </c:pt>
                <c:pt idx="5">
                  <c:v>111</c:v>
                </c:pt>
              </c:numCache>
            </c:numRef>
          </c:xVal>
          <c:yVal>
            <c:numRef>
              <c:f>'CG Envelope'!$C$5:$C$10</c:f>
              <c:numCache>
                <c:formatCode>General</c:formatCode>
                <c:ptCount val="6"/>
                <c:pt idx="0">
                  <c:v>2000</c:v>
                </c:pt>
                <c:pt idx="1">
                  <c:v>3200</c:v>
                </c:pt>
                <c:pt idx="2">
                  <c:v>3200</c:v>
                </c:pt>
                <c:pt idx="3">
                  <c:v>2900</c:v>
                </c:pt>
                <c:pt idx="4">
                  <c:v>2450</c:v>
                </c:pt>
                <c:pt idx="5">
                  <c:v>2000</c:v>
                </c:pt>
              </c:numCache>
            </c:numRef>
          </c:yVal>
          <c:smooth val="0"/>
          <c:extLst>
            <c:ext xmlns:c16="http://schemas.microsoft.com/office/drawing/2014/chart" uri="{C3380CC4-5D6E-409C-BE32-E72D297353CC}">
              <c16:uniqueId val="{00000002-234C-464B-8B34-CF67104642F5}"/>
            </c:ext>
          </c:extLst>
        </c:ser>
        <c:ser>
          <c:idx val="1"/>
          <c:order val="2"/>
          <c:tx>
            <c:strRef>
              <c:f>'CG Envelope'!$D$24</c:f>
              <c:strCache>
                <c:ptCount val="1"/>
                <c:pt idx="0">
                  <c:v>T/O CG</c:v>
                </c:pt>
              </c:strCache>
            </c:strRef>
          </c:tx>
          <c:spPr>
            <a:ln w="19050" cap="rnd">
              <a:solidFill>
                <a:schemeClr val="accent2"/>
              </a:solidFill>
              <a:round/>
            </a:ln>
            <a:effectLst/>
          </c:spPr>
          <c:marker>
            <c:symbol val="circle"/>
            <c:size val="5"/>
            <c:spPr>
              <a:solidFill>
                <a:schemeClr val="tx1"/>
              </a:solidFill>
              <a:ln w="9525">
                <a:solidFill>
                  <a:schemeClr val="accent2"/>
                </a:solidFill>
              </a:ln>
              <a:effectLst/>
            </c:spPr>
          </c:marker>
          <c:dLbls>
            <c:dLbl>
              <c:idx val="0"/>
              <c:layout>
                <c:manualLayout>
                  <c:x val="-6.9444444444444448E-2"/>
                  <c:y val="5.2219321148825028E-2"/>
                </c:manualLayout>
              </c:layout>
              <c:showLegendKey val="0"/>
              <c:showVal val="0"/>
              <c:showCatName val="1"/>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234C-464B-8B34-CF67104642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1"/>
            <c:showPercent val="0"/>
            <c:showBubbleSize val="0"/>
            <c:showLeaderLines val="0"/>
            <c:extLst>
              <c:ext xmlns:c15="http://schemas.microsoft.com/office/drawing/2012/chart" uri="{CE6537A1-D6FC-4f65-9D91-7224C49458BB}">
                <c15:showLeaderLines val="0"/>
              </c:ext>
            </c:extLst>
          </c:dLbls>
          <c:xVal>
            <c:numRef>
              <c:f>'CG Envelope'!$D$25</c:f>
              <c:numCache>
                <c:formatCode>General</c:formatCode>
                <c:ptCount val="1"/>
                <c:pt idx="0">
                  <c:v>118.3</c:v>
                </c:pt>
              </c:numCache>
            </c:numRef>
          </c:xVal>
          <c:yVal>
            <c:numRef>
              <c:f>'CG Envelope'!$B$25</c:f>
              <c:numCache>
                <c:formatCode>General</c:formatCode>
                <c:ptCount val="1"/>
                <c:pt idx="0">
                  <c:v>2465.1999999999998</c:v>
                </c:pt>
              </c:numCache>
            </c:numRef>
          </c:yVal>
          <c:smooth val="0"/>
          <c:extLst>
            <c:ext xmlns:c16="http://schemas.microsoft.com/office/drawing/2014/chart" uri="{C3380CC4-5D6E-409C-BE32-E72D297353CC}">
              <c16:uniqueId val="{00000001-234C-464B-8B34-CF67104642F5}"/>
            </c:ext>
          </c:extLst>
        </c:ser>
        <c:ser>
          <c:idx val="3"/>
          <c:order val="3"/>
          <c:tx>
            <c:strRef>
              <c:f>'CG Envelope'!$D$28</c:f>
              <c:strCache>
                <c:ptCount val="1"/>
                <c:pt idx="0">
                  <c:v>Ldg CG</c:v>
                </c:pt>
              </c:strCache>
            </c:strRef>
          </c:tx>
          <c:spPr>
            <a:ln w="19050" cap="rnd">
              <a:solidFill>
                <a:schemeClr val="accent4"/>
              </a:solidFill>
              <a:round/>
            </a:ln>
            <a:effectLst/>
          </c:spPr>
          <c:marker>
            <c:symbol val="circle"/>
            <c:size val="5"/>
            <c:spPr>
              <a:solidFill>
                <a:schemeClr val="tx1"/>
              </a:solidFill>
              <a:ln w="9525">
                <a:solidFill>
                  <a:schemeClr val="accent4"/>
                </a:solidFill>
              </a:ln>
              <a:effectLst/>
            </c:spPr>
          </c:marker>
          <c:dLbls>
            <c:dLbl>
              <c:idx val="0"/>
              <c:layout>
                <c:manualLayout>
                  <c:x val="-8.8888888888888892E-2"/>
                  <c:y val="9.138381201044378E-2"/>
                </c:manualLayout>
              </c:layout>
              <c:showLegendKey val="0"/>
              <c:showVal val="0"/>
              <c:showCatName val="1"/>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234C-464B-8B34-CF67104642F5}"/>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xVal>
            <c:numRef>
              <c:f>'CG Envelope'!$D$29</c:f>
              <c:numCache>
                <c:formatCode>General</c:formatCode>
                <c:ptCount val="1"/>
                <c:pt idx="0">
                  <c:v>118.5</c:v>
                </c:pt>
              </c:numCache>
            </c:numRef>
          </c:xVal>
          <c:yVal>
            <c:numRef>
              <c:f>'CG Envelope'!$B$29</c:f>
              <c:numCache>
                <c:formatCode>General</c:formatCode>
                <c:ptCount val="1"/>
                <c:pt idx="0">
                  <c:v>2063.1999999999998</c:v>
                </c:pt>
              </c:numCache>
            </c:numRef>
          </c:yVal>
          <c:smooth val="0"/>
          <c:extLst>
            <c:ext xmlns:c16="http://schemas.microsoft.com/office/drawing/2014/chart" uri="{C3380CC4-5D6E-409C-BE32-E72D297353CC}">
              <c16:uniqueId val="{00000003-234C-464B-8B34-CF67104642F5}"/>
            </c:ext>
          </c:extLst>
        </c:ser>
        <c:ser>
          <c:idx val="4"/>
          <c:order val="4"/>
          <c:tx>
            <c:strRef>
              <c:f>'CG Envelope'!$I$11:$J$11</c:f>
              <c:strCache>
                <c:ptCount val="1"/>
                <c:pt idx="0">
                  <c:v>External Only Table</c:v>
                </c:pt>
              </c:strCache>
            </c:strRef>
          </c:tx>
          <c:spPr>
            <a:ln w="19050" cap="rnd">
              <a:solidFill>
                <a:srgbClr val="FF0000"/>
              </a:solidFill>
              <a:round/>
            </a:ln>
            <a:effectLst/>
          </c:spPr>
          <c:marker>
            <c:symbol val="circle"/>
            <c:size val="5"/>
            <c:spPr>
              <a:solidFill>
                <a:schemeClr val="accent5"/>
              </a:solidFill>
              <a:ln w="9525">
                <a:solidFill>
                  <a:srgbClr val="FF0000"/>
                </a:solidFill>
              </a:ln>
              <a:effectLst/>
            </c:spPr>
          </c:marker>
          <c:xVal>
            <c:numRef>
              <c:f>'CG Envelope'!$I$12:$I$15</c:f>
              <c:numCache>
                <c:formatCode>General</c:formatCode>
                <c:ptCount val="4"/>
                <c:pt idx="0">
                  <c:v>106</c:v>
                </c:pt>
                <c:pt idx="1">
                  <c:v>106.9</c:v>
                </c:pt>
                <c:pt idx="2">
                  <c:v>110.8</c:v>
                </c:pt>
                <c:pt idx="3">
                  <c:v>111.4</c:v>
                </c:pt>
              </c:numCache>
            </c:numRef>
          </c:xVal>
          <c:yVal>
            <c:numRef>
              <c:f>'CG Envelope'!$J$12:$J$15</c:f>
              <c:numCache>
                <c:formatCode>General</c:formatCode>
                <c:ptCount val="4"/>
                <c:pt idx="0">
                  <c:v>3200</c:v>
                </c:pt>
                <c:pt idx="1">
                  <c:v>3350</c:v>
                </c:pt>
                <c:pt idx="2">
                  <c:v>3350</c:v>
                </c:pt>
                <c:pt idx="3">
                  <c:v>3200</c:v>
                </c:pt>
              </c:numCache>
            </c:numRef>
          </c:yVal>
          <c:smooth val="0"/>
          <c:extLst>
            <c:ext xmlns:c16="http://schemas.microsoft.com/office/drawing/2014/chart" uri="{C3380CC4-5D6E-409C-BE32-E72D297353CC}">
              <c16:uniqueId val="{00000006-234C-464B-8B34-CF67104642F5}"/>
            </c:ext>
          </c:extLst>
        </c:ser>
        <c:ser>
          <c:idx val="5"/>
          <c:order val="5"/>
          <c:tx>
            <c:strRef>
              <c:f>'CG Envelope'!$D$26</c:f>
              <c:strCache>
                <c:ptCount val="1"/>
                <c:pt idx="0">
                  <c:v>External CG</c:v>
                </c:pt>
              </c:strCache>
            </c:strRef>
          </c:tx>
          <c:spPr>
            <a:ln w="19050" cap="rnd">
              <a:solidFill>
                <a:schemeClr val="accent6"/>
              </a:solidFill>
              <a:round/>
            </a:ln>
            <a:effectLst/>
          </c:spPr>
          <c:marker>
            <c:symbol val="circle"/>
            <c:size val="5"/>
            <c:spPr>
              <a:solidFill>
                <a:schemeClr val="tx1"/>
              </a:solidFill>
              <a:ln w="9525">
                <a:solidFill>
                  <a:schemeClr val="accent6"/>
                </a:solidFill>
              </a:ln>
              <a:effectLst/>
            </c:spPr>
          </c:marker>
          <c:dLbls>
            <c:dLbl>
              <c:idx val="0"/>
              <c:layout>
                <c:manualLayout>
                  <c:x val="-0.24039566208976493"/>
                  <c:y val="1.8906535319342945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1"/>
              <c:showPercent val="0"/>
              <c:showBubbleSize val="0"/>
              <c:extLst>
                <c:ext xmlns:c15="http://schemas.microsoft.com/office/drawing/2012/chart" uri="{CE6537A1-D6FC-4f65-9D91-7224C49458BB}">
                  <c15:layout>
                    <c:manualLayout>
                      <c:w val="0.24399453975462157"/>
                      <c:h val="5.2824859682245158E-2"/>
                    </c:manualLayout>
                  </c15:layout>
                </c:ext>
                <c:ext xmlns:c16="http://schemas.microsoft.com/office/drawing/2014/chart" uri="{C3380CC4-5D6E-409C-BE32-E72D297353CC}">
                  <c16:uniqueId val="{00000008-234C-464B-8B34-CF67104642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'CG Envelope'!$D$27</c:f>
            </c:numRef>
          </c:xVal>
          <c:yVal>
            <c:numRef>
              <c:f>'CG Envelope'!$B$27</c:f>
              <c:numCache>
                <c:formatCode>General</c:formatCode>
                <c:ptCount val="1"/>
                <c:pt idx="0">
                  <c:v>0</c:v>
                </c:pt>
              </c:numCache>
            </c:numRef>
          </c:yVal>
          <c:smooth val="0"/>
          <c:extLst>
            <c:ext xmlns:c16="http://schemas.microsoft.com/office/drawing/2014/chart" uri="{C3380CC4-5D6E-409C-BE32-E72D297353CC}">
              <c16:uniqueId val="{00000007-234C-464B-8B34-CF67104642F5}"/>
            </c:ext>
          </c:extLst>
        </c:ser>
        <c:dLbls>
          <c:showLegendKey val="0"/>
          <c:showVal val="0"/>
          <c:showCatName val="0"/>
          <c:showSerName val="0"/>
          <c:showPercent val="0"/>
          <c:showBubbleSize val="0"/>
        </c:dLbls>
        <c:axId val="574330984"/>
        <c:axId val="574326720"/>
      </c:scatterChart>
      <c:valAx>
        <c:axId val="574330984"/>
        <c:scaling>
          <c:orientation val="minMax"/>
          <c:min val="105"/>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326720"/>
        <c:crosses val="autoZero"/>
        <c:crossBetween val="midCat"/>
      </c:valAx>
      <c:valAx>
        <c:axId val="574326720"/>
        <c:scaling>
          <c:orientation val="minMax"/>
          <c:min val="2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330984"/>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14704986996443"/>
          <c:y val="8.2393700787401589E-2"/>
          <c:w val="0.67377291065514922"/>
          <c:h val="0.59761778215223094"/>
        </c:manualLayout>
      </c:layout>
      <c:radarChart>
        <c:radarStyle val="marker"/>
        <c:varyColors val="0"/>
        <c:ser>
          <c:idx val="0"/>
          <c:order val="0"/>
          <c:tx>
            <c:strRef>
              <c:f>Data!$Z$29</c:f>
              <c:strCache>
                <c:ptCount val="1"/>
                <c:pt idx="0">
                  <c:v>Knots Permitted Steady</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Data!$Y$30:$Y$65</c:f>
              <c:numCache>
                <c:formatCode>General</c:formatCode>
                <c:ptCount val="36"/>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numCache>
            </c:numRef>
          </c:cat>
          <c:val>
            <c:numRef>
              <c:f>Data!$Z$30:$Z$65</c:f>
              <c:numCache>
                <c:formatCode>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27C2-4DDE-BE87-E79784673B28}"/>
            </c:ext>
          </c:extLst>
        </c:ser>
        <c:ser>
          <c:idx val="3"/>
          <c:order val="1"/>
          <c:tx>
            <c:strRef>
              <c:f>Data!$AA$29</c:f>
              <c:strCache>
                <c:ptCount val="1"/>
                <c:pt idx="0">
                  <c:v>Knots Permitted Gust</c:v>
                </c:pt>
              </c:strCache>
            </c:strRef>
          </c:tx>
          <c:spPr>
            <a:ln w="28575" cap="rnd">
              <a:solidFill>
                <a:schemeClr val="accent4"/>
              </a:solidFill>
              <a:prstDash val="sysDot"/>
              <a:round/>
            </a:ln>
            <a:effectLst/>
          </c:spPr>
          <c:marker>
            <c:symbol val="circle"/>
            <c:size val="5"/>
            <c:spPr>
              <a:solidFill>
                <a:schemeClr val="accent4"/>
              </a:solidFill>
              <a:ln w="9525">
                <a:solidFill>
                  <a:schemeClr val="accent4"/>
                </a:solidFill>
                <a:prstDash val="sysDot"/>
              </a:ln>
              <a:effectLst/>
            </c:spPr>
          </c:marker>
          <c:cat>
            <c:numRef>
              <c:f>Data!$Y$30:$Y$65</c:f>
              <c:numCache>
                <c:formatCode>General</c:formatCode>
                <c:ptCount val="36"/>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numCache>
            </c:numRef>
          </c:cat>
          <c:val>
            <c:numRef>
              <c:f>Data!$AA$30:$AA$65</c:f>
              <c:numCache>
                <c:formatCode>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4-B054-43FF-8879-8A53566AD0F3}"/>
            </c:ext>
          </c:extLst>
        </c:ser>
        <c:ser>
          <c:idx val="1"/>
          <c:order val="2"/>
          <c:tx>
            <c:strRef>
              <c:f>Data!$AB$29</c:f>
              <c:strCache>
                <c:ptCount val="1"/>
                <c:pt idx="0">
                  <c:v>Knots Actual Steady</c:v>
                </c:pt>
              </c:strCache>
            </c:strRef>
          </c:tx>
          <c:spPr>
            <a:ln w="28575" cap="rnd">
              <a:solidFill>
                <a:schemeClr val="accent2"/>
              </a:solidFill>
              <a:prstDash val="dashDot"/>
              <a:round/>
            </a:ln>
            <a:effectLst/>
          </c:spPr>
          <c:marker>
            <c:symbol val="circle"/>
            <c:size val="5"/>
            <c:spPr>
              <a:solidFill>
                <a:schemeClr val="accent2"/>
              </a:solidFill>
              <a:ln w="9525">
                <a:solidFill>
                  <a:schemeClr val="accent2"/>
                </a:solidFill>
                <a:prstDash val="dashDot"/>
              </a:ln>
              <a:effectLst/>
            </c:spPr>
          </c:marker>
          <c:cat>
            <c:numRef>
              <c:f>Data!$Y$30:$Y$65</c:f>
              <c:numCache>
                <c:formatCode>General</c:formatCode>
                <c:ptCount val="36"/>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numCache>
            </c:numRef>
          </c:cat>
          <c:val>
            <c:numRef>
              <c:f>Data!$AB$30:$AB$65</c:f>
              <c:numCache>
                <c:formatCode>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2-B054-43FF-8879-8A53566AD0F3}"/>
            </c:ext>
          </c:extLst>
        </c:ser>
        <c:ser>
          <c:idx val="2"/>
          <c:order val="3"/>
          <c:tx>
            <c:strRef>
              <c:f>Data!$AC$29</c:f>
              <c:strCache>
                <c:ptCount val="1"/>
                <c:pt idx="0">
                  <c:v>Knots Actual Gust</c:v>
                </c:pt>
              </c:strCache>
            </c:strRef>
          </c:tx>
          <c:spPr>
            <a:ln w="28575" cap="rnd">
              <a:solidFill>
                <a:schemeClr val="accent3"/>
              </a:solidFill>
              <a:round/>
            </a:ln>
            <a:effectLst/>
          </c:spPr>
          <c:marker>
            <c:symbol val="circle"/>
            <c:size val="5"/>
            <c:spPr>
              <a:solidFill>
                <a:schemeClr val="accent3"/>
              </a:solidFill>
              <a:ln w="9525">
                <a:solidFill>
                  <a:schemeClr val="tx1"/>
                </a:solidFill>
              </a:ln>
              <a:effectLst/>
            </c:spPr>
          </c:marker>
          <c:cat>
            <c:numRef>
              <c:f>Data!$Y$30:$Y$65</c:f>
              <c:numCache>
                <c:formatCode>General</c:formatCode>
                <c:ptCount val="36"/>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numCache>
            </c:numRef>
          </c:cat>
          <c:val>
            <c:numRef>
              <c:f>Data!$AC$30:$AC$65</c:f>
              <c:numCache>
                <c:formatCode>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3-B054-43FF-8879-8A53566AD0F3}"/>
            </c:ext>
          </c:extLst>
        </c:ser>
        <c:dLbls>
          <c:showLegendKey val="0"/>
          <c:showVal val="0"/>
          <c:showCatName val="0"/>
          <c:showSerName val="0"/>
          <c:showPercent val="0"/>
          <c:showBubbleSize val="0"/>
        </c:dLbls>
        <c:axId val="514983288"/>
        <c:axId val="514984928"/>
      </c:radarChart>
      <c:catAx>
        <c:axId val="514983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514984928"/>
        <c:crosses val="autoZero"/>
        <c:auto val="1"/>
        <c:lblAlgn val="ctr"/>
        <c:lblOffset val="100"/>
        <c:noMultiLvlLbl val="0"/>
      </c:catAx>
      <c:valAx>
        <c:axId val="514984928"/>
        <c:scaling>
          <c:orientation val="minMax"/>
          <c:max val="35"/>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4983288"/>
        <c:crosses val="autoZero"/>
        <c:crossBetween val="between"/>
        <c:majorUnit val="10"/>
        <c:minorUnit val="5"/>
      </c:valAx>
      <c:spPr>
        <a:noFill/>
        <a:ln>
          <a:noFill/>
        </a:ln>
        <a:effectLst/>
      </c:spPr>
    </c:plotArea>
    <c:legend>
      <c:legendPos val="b"/>
      <c:layout>
        <c:manualLayout>
          <c:xMode val="edge"/>
          <c:yMode val="edge"/>
          <c:x val="2.0218302927585127E-2"/>
          <c:y val="0.76636264289459133"/>
          <c:w val="0.96895865382943758"/>
          <c:h val="0.2062180040078314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Data!$AE$18</c:f>
              <c:strCache>
                <c:ptCount val="1"/>
                <c:pt idx="0">
                  <c:v>B</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dLbls>
            <c:dLbl>
              <c:idx val="1"/>
              <c:layout>
                <c:manualLayout>
                  <c:x val="-0.11961491059745678"/>
                  <c:y val="-9.02431466899971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7C1-47C6-952B-747098A4D7F5}"/>
                </c:ext>
              </c:extLst>
            </c:dLbl>
            <c:dLbl>
              <c:idx val="2"/>
              <c:layout>
                <c:manualLayout>
                  <c:x val="-8.3848964917338772E-2"/>
                  <c:y val="-0.10876166520851568"/>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7C1-47C6-952B-747098A4D7F5}"/>
                </c:ext>
              </c:extLst>
            </c:dLbl>
            <c:dLbl>
              <c:idx val="3"/>
              <c:layout>
                <c:manualLayout>
                  <c:x val="-0.31821018610863216"/>
                  <c:y val="-6.43391745704233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7C1-47C6-952B-747098A4D7F5}"/>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Data!$AD$19:$AD$22</c:f>
              <c:numCache>
                <c:formatCode>General</c:formatCode>
                <c:ptCount val="4"/>
                <c:pt idx="0">
                  <c:v>2300</c:v>
                </c:pt>
                <c:pt idx="1">
                  <c:v>2575</c:v>
                </c:pt>
                <c:pt idx="2">
                  <c:v>2675</c:v>
                </c:pt>
                <c:pt idx="3">
                  <c:v>3110</c:v>
                </c:pt>
              </c:numCache>
            </c:numRef>
          </c:xVal>
          <c:yVal>
            <c:numRef>
              <c:f>Data!$AE$19:$AE$22</c:f>
              <c:numCache>
                <c:formatCode>General</c:formatCode>
                <c:ptCount val="4"/>
                <c:pt idx="0">
                  <c:v>94</c:v>
                </c:pt>
                <c:pt idx="1">
                  <c:v>94</c:v>
                </c:pt>
                <c:pt idx="2">
                  <c:v>95.121495327102807</c:v>
                </c:pt>
                <c:pt idx="3">
                  <c:v>100</c:v>
                </c:pt>
              </c:numCache>
            </c:numRef>
          </c:yVal>
          <c:smooth val="0"/>
          <c:extLst>
            <c:ext xmlns:c16="http://schemas.microsoft.com/office/drawing/2014/chart" uri="{C3380CC4-5D6E-409C-BE32-E72D297353CC}">
              <c16:uniqueId val="{00000003-27C1-47C6-952B-747098A4D7F5}"/>
            </c:ext>
          </c:extLst>
        </c:ser>
        <c:ser>
          <c:idx val="1"/>
          <c:order val="1"/>
          <c:tx>
            <c:strRef>
              <c:f>Data!$AF$18</c:f>
              <c:strCache>
                <c:ptCount val="1"/>
                <c:pt idx="0">
                  <c:v>C</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manualLayout>
                  <c:x val="-7.4907478497309291E-2"/>
                  <c:y val="5.32753718285214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7C1-47C6-952B-747098A4D7F5}"/>
                </c:ext>
              </c:extLst>
            </c:dLbl>
            <c:dLbl>
              <c:idx val="1"/>
              <c:layout>
                <c:manualLayout>
                  <c:x val="-0.12855639701748628"/>
                  <c:y val="7.179389034703995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7C1-47C6-952B-747098A4D7F5}"/>
                </c:ext>
              </c:extLst>
            </c:dLbl>
            <c:dLbl>
              <c:idx val="2"/>
              <c:layout>
                <c:manualLayout>
                  <c:x val="-3.9141532817191307E-2"/>
                  <c:y val="5.32753718285214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7C1-47C6-952B-747098A4D7F5}"/>
                </c:ext>
              </c:extLst>
            </c:dLbl>
            <c:dLbl>
              <c:idx val="3"/>
              <c:layout>
                <c:manualLayout>
                  <c:x val="6.2812181965585133E-3"/>
                  <c:y val="3.710666375036453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7C1-47C6-952B-747098A4D7F5}"/>
                </c:ext>
              </c:extLst>
            </c:dLbl>
            <c:dLbl>
              <c:idx val="4"/>
              <c:layout>
                <c:manualLayout>
                  <c:x val="-2.6320625776279295E-2"/>
                  <c:y val="-7.46396065397199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7C1-47C6-952B-747098A4D7F5}"/>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Data!$AD$19:$AD$23</c:f>
              <c:numCache>
                <c:formatCode>General</c:formatCode>
                <c:ptCount val="5"/>
                <c:pt idx="0">
                  <c:v>2300</c:v>
                </c:pt>
                <c:pt idx="1">
                  <c:v>2575</c:v>
                </c:pt>
                <c:pt idx="2">
                  <c:v>2675</c:v>
                </c:pt>
                <c:pt idx="3">
                  <c:v>3110</c:v>
                </c:pt>
                <c:pt idx="4">
                  <c:v>3200</c:v>
                </c:pt>
              </c:numCache>
            </c:numRef>
          </c:xVal>
          <c:yVal>
            <c:numRef>
              <c:f>Data!$AF$19:$AF$23</c:f>
              <c:numCache>
                <c:formatCode>General</c:formatCode>
                <c:ptCount val="5"/>
                <c:pt idx="0">
                  <c:v>94</c:v>
                </c:pt>
                <c:pt idx="1">
                  <c:v>94</c:v>
                </c:pt>
                <c:pt idx="2">
                  <c:v>94</c:v>
                </c:pt>
                <c:pt idx="3">
                  <c:v>98.971428571428575</c:v>
                </c:pt>
                <c:pt idx="4">
                  <c:v>100</c:v>
                </c:pt>
              </c:numCache>
            </c:numRef>
          </c:yVal>
          <c:smooth val="0"/>
          <c:extLst>
            <c:ext xmlns:c16="http://schemas.microsoft.com/office/drawing/2014/chart" uri="{C3380CC4-5D6E-409C-BE32-E72D297353CC}">
              <c16:uniqueId val="{00000009-27C1-47C6-952B-747098A4D7F5}"/>
            </c:ext>
          </c:extLst>
        </c:ser>
        <c:ser>
          <c:idx val="2"/>
          <c:order val="2"/>
          <c:tx>
            <c:v>Actual Aircraft</c:v>
          </c:tx>
          <c:spPr>
            <a:ln w="19050" cap="rnd">
              <a:solidFill>
                <a:srgbClr val="7030A0">
                  <a:alpha val="93000"/>
                </a:srgbClr>
              </a:solidFill>
              <a:round/>
            </a:ln>
            <a:effectLst/>
          </c:spPr>
          <c:marker>
            <c:symbol val="diamond"/>
            <c:size val="9"/>
            <c:spPr>
              <a:solidFill>
                <a:srgbClr val="7030A0"/>
              </a:solidFill>
              <a:ln w="9525">
                <a:solidFill>
                  <a:srgbClr val="7030A0"/>
                </a:solidFill>
                <a:round/>
              </a:ln>
              <a:effectLst/>
            </c:spPr>
          </c:marker>
          <c:dLbls>
            <c:dLbl>
              <c:idx val="0"/>
              <c:layout>
                <c:manualLayout>
                  <c:x val="1.1789761922872137E-2"/>
                  <c:y val="0.13398307160503434"/>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7C1-47C6-952B-747098A4D7F5}"/>
                </c:ext>
              </c:extLst>
            </c:dLbl>
            <c:numFmt formatCode="#,##0.00" sourceLinked="0"/>
            <c:spPr>
              <a:noFill/>
              <a:ln>
                <a:solidFill>
                  <a:srgbClr val="7030A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rgbClr val="7030A0"/>
                      </a:solidFill>
                      <a:round/>
                    </a:ln>
                    <a:effectLst/>
                  </c:spPr>
                </c15:leaderLines>
              </c:ext>
            </c:extLst>
          </c:dLbls>
          <c:xVal>
            <c:numRef>
              <c:f>Data!$AI$32</c:f>
              <c:numCache>
                <c:formatCode>General</c:formatCode>
                <c:ptCount val="1"/>
                <c:pt idx="0">
                  <c:v>2465.1999999999998</c:v>
                </c:pt>
              </c:numCache>
            </c:numRef>
          </c:xVal>
          <c:yVal>
            <c:numRef>
              <c:f>Data!$AH$32</c:f>
              <c:numCache>
                <c:formatCode>General</c:formatCode>
                <c:ptCount val="1"/>
                <c:pt idx="0">
                  <c:v>92.768598130738326</c:v>
                </c:pt>
              </c:numCache>
            </c:numRef>
          </c:yVal>
          <c:smooth val="0"/>
          <c:extLst>
            <c:ext xmlns:c16="http://schemas.microsoft.com/office/drawing/2014/chart" uri="{C3380CC4-5D6E-409C-BE32-E72D297353CC}">
              <c16:uniqueId val="{0000000B-27C1-47C6-952B-747098A4D7F5}"/>
            </c:ext>
          </c:extLst>
        </c:ser>
        <c:dLbls>
          <c:dLblPos val="t"/>
          <c:showLegendKey val="0"/>
          <c:showVal val="1"/>
          <c:showCatName val="0"/>
          <c:showSerName val="0"/>
          <c:showPercent val="0"/>
          <c:showBubbleSize val="0"/>
        </c:dLbls>
        <c:axId val="345830104"/>
        <c:axId val="345830760"/>
      </c:scatterChart>
      <c:valAx>
        <c:axId val="345830104"/>
        <c:scaling>
          <c:orientation val="minMax"/>
          <c:min val="23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5830760"/>
        <c:crosses val="autoZero"/>
        <c:crossBetween val="midCat"/>
      </c:valAx>
      <c:valAx>
        <c:axId val="345830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583010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Fuel Gallons</a:t>
            </a:r>
            <a:r>
              <a:rPr lang="en-US" baseline="0"/>
              <a:t> to Total Weight</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Data!$H$2</c:f>
              <c:strCache>
                <c:ptCount val="1"/>
                <c:pt idx="0">
                  <c:v>Fuel Quantity (gals)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xVal>
            <c:numRef>
              <c:f>Data!$H$3:$H$93</c:f>
              <c:numCache>
                <c:formatCode>General</c:formatCode>
                <c:ptCount val="9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numCache>
            </c:numRef>
          </c:xVal>
          <c:yVal>
            <c:numRef>
              <c:f>Data!$I$3:$I$93</c:f>
              <c:numCache>
                <c:formatCode>General</c:formatCode>
                <c:ptCount val="91"/>
                <c:pt idx="0">
                  <c:v>6.7</c:v>
                </c:pt>
                <c:pt idx="1">
                  <c:v>13.4</c:v>
                </c:pt>
                <c:pt idx="2">
                  <c:v>20.100000000000001</c:v>
                </c:pt>
                <c:pt idx="3">
                  <c:v>26.8</c:v>
                </c:pt>
                <c:pt idx="4">
                  <c:v>33.5</c:v>
                </c:pt>
                <c:pt idx="5">
                  <c:v>40.200000000000003</c:v>
                </c:pt>
                <c:pt idx="6">
                  <c:v>46.9</c:v>
                </c:pt>
                <c:pt idx="7">
                  <c:v>53.6</c:v>
                </c:pt>
                <c:pt idx="8">
                  <c:v>60.300000000000004</c:v>
                </c:pt>
                <c:pt idx="9">
                  <c:v>67</c:v>
                </c:pt>
                <c:pt idx="10">
                  <c:v>73.7</c:v>
                </c:pt>
                <c:pt idx="11">
                  <c:v>80.400000000000006</c:v>
                </c:pt>
                <c:pt idx="12">
                  <c:v>87.100000000000009</c:v>
                </c:pt>
                <c:pt idx="13">
                  <c:v>93.8</c:v>
                </c:pt>
                <c:pt idx="14">
                  <c:v>100.5</c:v>
                </c:pt>
                <c:pt idx="15">
                  <c:v>107.2</c:v>
                </c:pt>
                <c:pt idx="16">
                  <c:v>113.9</c:v>
                </c:pt>
                <c:pt idx="17">
                  <c:v>120.60000000000001</c:v>
                </c:pt>
                <c:pt idx="18">
                  <c:v>127.3</c:v>
                </c:pt>
                <c:pt idx="19">
                  <c:v>134</c:v>
                </c:pt>
                <c:pt idx="20">
                  <c:v>140.70000000000002</c:v>
                </c:pt>
                <c:pt idx="21">
                  <c:v>147.4</c:v>
                </c:pt>
                <c:pt idx="22">
                  <c:v>154.1</c:v>
                </c:pt>
                <c:pt idx="23">
                  <c:v>160.80000000000001</c:v>
                </c:pt>
                <c:pt idx="24">
                  <c:v>167.5</c:v>
                </c:pt>
                <c:pt idx="25">
                  <c:v>174.20000000000002</c:v>
                </c:pt>
                <c:pt idx="26">
                  <c:v>180.9</c:v>
                </c:pt>
                <c:pt idx="27">
                  <c:v>187.6</c:v>
                </c:pt>
                <c:pt idx="28">
                  <c:v>194.3</c:v>
                </c:pt>
                <c:pt idx="29">
                  <c:v>201</c:v>
                </c:pt>
                <c:pt idx="30">
                  <c:v>207.70000000000002</c:v>
                </c:pt>
                <c:pt idx="31">
                  <c:v>214.4</c:v>
                </c:pt>
                <c:pt idx="32">
                  <c:v>221.1</c:v>
                </c:pt>
                <c:pt idx="33">
                  <c:v>227.8</c:v>
                </c:pt>
                <c:pt idx="34">
                  <c:v>234.5</c:v>
                </c:pt>
                <c:pt idx="35">
                  <c:v>241.20000000000002</c:v>
                </c:pt>
                <c:pt idx="36">
                  <c:v>247.9</c:v>
                </c:pt>
                <c:pt idx="37">
                  <c:v>254.6</c:v>
                </c:pt>
                <c:pt idx="38">
                  <c:v>261.3</c:v>
                </c:pt>
                <c:pt idx="39">
                  <c:v>268</c:v>
                </c:pt>
                <c:pt idx="40">
                  <c:v>274.7</c:v>
                </c:pt>
                <c:pt idx="41">
                  <c:v>281.40000000000003</c:v>
                </c:pt>
                <c:pt idx="42">
                  <c:v>288.10000000000002</c:v>
                </c:pt>
                <c:pt idx="43">
                  <c:v>294.8</c:v>
                </c:pt>
                <c:pt idx="44">
                  <c:v>301.5</c:v>
                </c:pt>
                <c:pt idx="45">
                  <c:v>308.2</c:v>
                </c:pt>
                <c:pt idx="46">
                  <c:v>314.90000000000003</c:v>
                </c:pt>
                <c:pt idx="47">
                  <c:v>321.60000000000002</c:v>
                </c:pt>
                <c:pt idx="48">
                  <c:v>328.3</c:v>
                </c:pt>
                <c:pt idx="49">
                  <c:v>335</c:v>
                </c:pt>
                <c:pt idx="50">
                  <c:v>341.7</c:v>
                </c:pt>
                <c:pt idx="51">
                  <c:v>348.40000000000003</c:v>
                </c:pt>
                <c:pt idx="52">
                  <c:v>355.1</c:v>
                </c:pt>
                <c:pt idx="53">
                  <c:v>361.8</c:v>
                </c:pt>
                <c:pt idx="54">
                  <c:v>368.5</c:v>
                </c:pt>
                <c:pt idx="55">
                  <c:v>375.2</c:v>
                </c:pt>
                <c:pt idx="56">
                  <c:v>381.90000000000003</c:v>
                </c:pt>
                <c:pt idx="57">
                  <c:v>388.6</c:v>
                </c:pt>
                <c:pt idx="58">
                  <c:v>395.3</c:v>
                </c:pt>
                <c:pt idx="59">
                  <c:v>402</c:v>
                </c:pt>
                <c:pt idx="60">
                  <c:v>408.7</c:v>
                </c:pt>
                <c:pt idx="61">
                  <c:v>415.40000000000003</c:v>
                </c:pt>
                <c:pt idx="62">
                  <c:v>422.1</c:v>
                </c:pt>
                <c:pt idx="63">
                  <c:v>428.8</c:v>
                </c:pt>
                <c:pt idx="64">
                  <c:v>435.5</c:v>
                </c:pt>
                <c:pt idx="65">
                  <c:v>442.2</c:v>
                </c:pt>
                <c:pt idx="66">
                  <c:v>448.90000000000003</c:v>
                </c:pt>
                <c:pt idx="67">
                  <c:v>455.6</c:v>
                </c:pt>
                <c:pt idx="68">
                  <c:v>462.3</c:v>
                </c:pt>
                <c:pt idx="69">
                  <c:v>469</c:v>
                </c:pt>
                <c:pt idx="70">
                  <c:v>475.7</c:v>
                </c:pt>
                <c:pt idx="71">
                  <c:v>482.40000000000003</c:v>
                </c:pt>
                <c:pt idx="72">
                  <c:v>489.1</c:v>
                </c:pt>
                <c:pt idx="73">
                  <c:v>495.8</c:v>
                </c:pt>
                <c:pt idx="74">
                  <c:v>502.5</c:v>
                </c:pt>
                <c:pt idx="75">
                  <c:v>509.2</c:v>
                </c:pt>
                <c:pt idx="76">
                  <c:v>515.9</c:v>
                </c:pt>
                <c:pt idx="77">
                  <c:v>522.6</c:v>
                </c:pt>
                <c:pt idx="78">
                  <c:v>529.30000000000007</c:v>
                </c:pt>
                <c:pt idx="79">
                  <c:v>536</c:v>
                </c:pt>
                <c:pt idx="80">
                  <c:v>542.70000000000005</c:v>
                </c:pt>
                <c:pt idx="81">
                  <c:v>549.4</c:v>
                </c:pt>
                <c:pt idx="82">
                  <c:v>556.1</c:v>
                </c:pt>
                <c:pt idx="83">
                  <c:v>562.80000000000007</c:v>
                </c:pt>
                <c:pt idx="84">
                  <c:v>569.5</c:v>
                </c:pt>
                <c:pt idx="85">
                  <c:v>576.20000000000005</c:v>
                </c:pt>
                <c:pt idx="86">
                  <c:v>582.9</c:v>
                </c:pt>
                <c:pt idx="87">
                  <c:v>589.6</c:v>
                </c:pt>
                <c:pt idx="88">
                  <c:v>596.30000000000007</c:v>
                </c:pt>
                <c:pt idx="89">
                  <c:v>603</c:v>
                </c:pt>
                <c:pt idx="90">
                  <c:v>609.70000000000005</c:v>
                </c:pt>
              </c:numCache>
            </c:numRef>
          </c:yVal>
          <c:smooth val="0"/>
          <c:extLst>
            <c:ext xmlns:c16="http://schemas.microsoft.com/office/drawing/2014/chart" uri="{C3380CC4-5D6E-409C-BE32-E72D297353CC}">
              <c16:uniqueId val="{00000001-752F-4846-873A-FD315CDB5BE8}"/>
            </c:ext>
          </c:extLst>
        </c:ser>
        <c:dLbls>
          <c:showLegendKey val="0"/>
          <c:showVal val="0"/>
          <c:showCatName val="0"/>
          <c:showSerName val="0"/>
          <c:showPercent val="0"/>
          <c:showBubbleSize val="0"/>
        </c:dLbls>
        <c:axId val="560254168"/>
        <c:axId val="560250232"/>
      </c:scatterChart>
      <c:valAx>
        <c:axId val="560254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0250232"/>
        <c:crosses val="autoZero"/>
        <c:crossBetween val="midCat"/>
      </c:valAx>
      <c:valAx>
        <c:axId val="560250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025416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Fuel Gallons to</a:t>
            </a:r>
            <a:r>
              <a:rPr lang="en-US" baseline="0"/>
              <a:t> Inches of CG</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Data!$H$2</c:f>
              <c:strCache>
                <c:ptCount val="1"/>
                <c:pt idx="0">
                  <c:v>Fuel Quantity (gals)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xVal>
            <c:numRef>
              <c:f>Data!$H$3:$H$93</c:f>
              <c:numCache>
                <c:formatCode>General</c:formatCode>
                <c:ptCount val="9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numCache>
            </c:numRef>
          </c:xVal>
          <c:yVal>
            <c:numRef>
              <c:f>Data!$J$3:$J$93</c:f>
              <c:numCache>
                <c:formatCode>General</c:formatCode>
                <c:ptCount val="91"/>
                <c:pt idx="4">
                  <c:v>1.103</c:v>
                </c:pt>
                <c:pt idx="5">
                  <c:v>1.1037999999999999</c:v>
                </c:pt>
                <c:pt idx="6">
                  <c:v>1.1046</c:v>
                </c:pt>
                <c:pt idx="7">
                  <c:v>1.1053999999999999</c:v>
                </c:pt>
                <c:pt idx="8">
                  <c:v>1.1062000000000001</c:v>
                </c:pt>
                <c:pt idx="9">
                  <c:v>1.107</c:v>
                </c:pt>
                <c:pt idx="10">
                  <c:v>1.1071</c:v>
                </c:pt>
                <c:pt idx="11">
                  <c:v>1.1072</c:v>
                </c:pt>
                <c:pt idx="12">
                  <c:v>1.1073</c:v>
                </c:pt>
                <c:pt idx="13">
                  <c:v>1.1073999999999999</c:v>
                </c:pt>
                <c:pt idx="14">
                  <c:v>1.1074999999999999</c:v>
                </c:pt>
                <c:pt idx="15">
                  <c:v>1.1076000000000001</c:v>
                </c:pt>
                <c:pt idx="16">
                  <c:v>1.1077000000000001</c:v>
                </c:pt>
                <c:pt idx="17">
                  <c:v>1.1078000000000001</c:v>
                </c:pt>
                <c:pt idx="18">
                  <c:v>1.1079000000000001</c:v>
                </c:pt>
                <c:pt idx="19">
                  <c:v>1.1080000000000001</c:v>
                </c:pt>
                <c:pt idx="20">
                  <c:v>1.1080000000000001</c:v>
                </c:pt>
                <c:pt idx="21">
                  <c:v>1.1080000000000001</c:v>
                </c:pt>
                <c:pt idx="22">
                  <c:v>1.1080000000000001</c:v>
                </c:pt>
                <c:pt idx="23">
                  <c:v>1.1080000000000001</c:v>
                </c:pt>
                <c:pt idx="24">
                  <c:v>1.1080000000000001</c:v>
                </c:pt>
                <c:pt idx="25">
                  <c:v>1.1080000000000001</c:v>
                </c:pt>
                <c:pt idx="26">
                  <c:v>1.1080000000000001</c:v>
                </c:pt>
                <c:pt idx="27">
                  <c:v>1.1080000000000001</c:v>
                </c:pt>
                <c:pt idx="28">
                  <c:v>1.1080000000000001</c:v>
                </c:pt>
                <c:pt idx="29">
                  <c:v>1.1080000000000001</c:v>
                </c:pt>
                <c:pt idx="30">
                  <c:v>1.1087</c:v>
                </c:pt>
                <c:pt idx="31">
                  <c:v>1.1094000000000002</c:v>
                </c:pt>
                <c:pt idx="32">
                  <c:v>1.1101000000000001</c:v>
                </c:pt>
                <c:pt idx="33">
                  <c:v>1.1108</c:v>
                </c:pt>
                <c:pt idx="34">
                  <c:v>1.1114999999999999</c:v>
                </c:pt>
                <c:pt idx="35">
                  <c:v>1.1122000000000001</c:v>
                </c:pt>
                <c:pt idx="36">
                  <c:v>1.1129</c:v>
                </c:pt>
                <c:pt idx="37">
                  <c:v>1.1135999999999999</c:v>
                </c:pt>
                <c:pt idx="38">
                  <c:v>1.1143000000000001</c:v>
                </c:pt>
                <c:pt idx="39">
                  <c:v>1.115</c:v>
                </c:pt>
                <c:pt idx="40">
                  <c:v>1.1173</c:v>
                </c:pt>
                <c:pt idx="41">
                  <c:v>1.1195999999999999</c:v>
                </c:pt>
                <c:pt idx="42">
                  <c:v>1.1218999999999999</c:v>
                </c:pt>
                <c:pt idx="43">
                  <c:v>1.1241999999999999</c:v>
                </c:pt>
                <c:pt idx="44">
                  <c:v>1.1265000000000001</c:v>
                </c:pt>
                <c:pt idx="45">
                  <c:v>1.1288</c:v>
                </c:pt>
                <c:pt idx="46">
                  <c:v>1.1311</c:v>
                </c:pt>
                <c:pt idx="47">
                  <c:v>1.1334</c:v>
                </c:pt>
                <c:pt idx="48">
                  <c:v>1.1356999999999999</c:v>
                </c:pt>
                <c:pt idx="49">
                  <c:v>1.1379999999999999</c:v>
                </c:pt>
                <c:pt idx="50">
                  <c:v>1.1395</c:v>
                </c:pt>
                <c:pt idx="51">
                  <c:v>1.141</c:v>
                </c:pt>
                <c:pt idx="52">
                  <c:v>1.1424999999999998</c:v>
                </c:pt>
                <c:pt idx="53">
                  <c:v>1.1439999999999999</c:v>
                </c:pt>
                <c:pt idx="54">
                  <c:v>1.1455</c:v>
                </c:pt>
                <c:pt idx="55">
                  <c:v>1.147</c:v>
                </c:pt>
                <c:pt idx="56">
                  <c:v>1.1485000000000001</c:v>
                </c:pt>
                <c:pt idx="57">
                  <c:v>1.1499999999999999</c:v>
                </c:pt>
                <c:pt idx="58">
                  <c:v>1.1515</c:v>
                </c:pt>
                <c:pt idx="59">
                  <c:v>1.153</c:v>
                </c:pt>
                <c:pt idx="60">
                  <c:v>1.1540999999999999</c:v>
                </c:pt>
                <c:pt idx="61">
                  <c:v>1.1552</c:v>
                </c:pt>
                <c:pt idx="62">
                  <c:v>1.1563000000000001</c:v>
                </c:pt>
                <c:pt idx="63">
                  <c:v>1.1574</c:v>
                </c:pt>
                <c:pt idx="64">
                  <c:v>1.1585000000000001</c:v>
                </c:pt>
                <c:pt idx="65">
                  <c:v>1.1596</c:v>
                </c:pt>
                <c:pt idx="66">
                  <c:v>1.1607000000000001</c:v>
                </c:pt>
                <c:pt idx="67">
                  <c:v>1.1617999999999999</c:v>
                </c:pt>
                <c:pt idx="68">
                  <c:v>1.1629</c:v>
                </c:pt>
                <c:pt idx="69">
                  <c:v>1.1639999999999999</c:v>
                </c:pt>
                <c:pt idx="70">
                  <c:v>1.1647999999999998</c:v>
                </c:pt>
                <c:pt idx="71">
                  <c:v>1.1656</c:v>
                </c:pt>
                <c:pt idx="72">
                  <c:v>1.1663999999999999</c:v>
                </c:pt>
                <c:pt idx="73">
                  <c:v>1.1672</c:v>
                </c:pt>
                <c:pt idx="74">
                  <c:v>1.1679999999999999</c:v>
                </c:pt>
                <c:pt idx="75">
                  <c:v>1.1687999999999998</c:v>
                </c:pt>
                <c:pt idx="76">
                  <c:v>1.1696</c:v>
                </c:pt>
                <c:pt idx="77">
                  <c:v>1.1703999999999999</c:v>
                </c:pt>
                <c:pt idx="78">
                  <c:v>1.1712</c:v>
                </c:pt>
                <c:pt idx="79">
                  <c:v>1.1719999999999999</c:v>
                </c:pt>
                <c:pt idx="80">
                  <c:v>1.1726999999999999</c:v>
                </c:pt>
                <c:pt idx="81">
                  <c:v>1.1734</c:v>
                </c:pt>
                <c:pt idx="82">
                  <c:v>1.1740999999999999</c:v>
                </c:pt>
                <c:pt idx="83">
                  <c:v>1.1748000000000001</c:v>
                </c:pt>
                <c:pt idx="84">
                  <c:v>1.1755</c:v>
                </c:pt>
                <c:pt idx="85">
                  <c:v>1.1761999999999999</c:v>
                </c:pt>
                <c:pt idx="86">
                  <c:v>1.1769000000000001</c:v>
                </c:pt>
                <c:pt idx="87">
                  <c:v>1.1776</c:v>
                </c:pt>
                <c:pt idx="88">
                  <c:v>1.1783000000000001</c:v>
                </c:pt>
                <c:pt idx="89">
                  <c:v>1.179</c:v>
                </c:pt>
                <c:pt idx="90">
                  <c:v>1.18</c:v>
                </c:pt>
              </c:numCache>
            </c:numRef>
          </c:yVal>
          <c:smooth val="0"/>
          <c:extLst>
            <c:ext xmlns:c16="http://schemas.microsoft.com/office/drawing/2014/chart" uri="{C3380CC4-5D6E-409C-BE32-E72D297353CC}">
              <c16:uniqueId val="{00000000-CDA8-40CE-9034-DE6A5F78E36E}"/>
            </c:ext>
          </c:extLst>
        </c:ser>
        <c:dLbls>
          <c:showLegendKey val="0"/>
          <c:showVal val="0"/>
          <c:showCatName val="0"/>
          <c:showSerName val="0"/>
          <c:showPercent val="0"/>
          <c:showBubbleSize val="0"/>
        </c:dLbls>
        <c:axId val="560254168"/>
        <c:axId val="560250232"/>
      </c:scatterChart>
      <c:valAx>
        <c:axId val="560254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0250232"/>
        <c:crosses val="autoZero"/>
        <c:crossBetween val="midCat"/>
      </c:valAx>
      <c:valAx>
        <c:axId val="560250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025416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Temp v. PA (avg PA not used in calculations, only labels)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PA_DA_HIGE_HOGE!$N$2</c:f>
              <c:strCache>
                <c:ptCount val="1"/>
                <c:pt idx="0">
                  <c:v>5011.666971</c:v>
                </c:pt>
              </c:strCache>
            </c:strRef>
          </c:tx>
          <c:spPr>
            <a:ln w="19050" cap="rnd">
              <a:noFill/>
              <a:round/>
            </a:ln>
            <a:effectLst/>
          </c:spPr>
          <c:marker>
            <c:symbol val="circle"/>
            <c:size val="5"/>
            <c:spPr>
              <a:solidFill>
                <a:schemeClr val="accent1"/>
              </a:solidFill>
              <a:ln w="9525">
                <a:solidFill>
                  <a:schemeClr val="accent1"/>
                </a:solidFill>
              </a:ln>
              <a:effectLst/>
            </c:spPr>
          </c:marker>
          <c:xVal>
            <c:numRef>
              <c:f>PA_DA_HIGE_HOGE!$L$2:$L$8</c:f>
              <c:numCache>
                <c:formatCode>General</c:formatCode>
                <c:ptCount val="7"/>
                <c:pt idx="0">
                  <c:v>-60</c:v>
                </c:pt>
                <c:pt idx="1">
                  <c:v>-40</c:v>
                </c:pt>
                <c:pt idx="2">
                  <c:v>-20</c:v>
                </c:pt>
                <c:pt idx="3">
                  <c:v>0</c:v>
                </c:pt>
                <c:pt idx="4">
                  <c:v>20</c:v>
                </c:pt>
                <c:pt idx="5">
                  <c:v>40</c:v>
                </c:pt>
                <c:pt idx="6">
                  <c:v>60</c:v>
                </c:pt>
              </c:numCache>
            </c:numRef>
          </c:xVal>
          <c:yVal>
            <c:numRef>
              <c:f>PA_DA_HIGE_HOGE!$O$2:$O$8</c:f>
              <c:numCache>
                <c:formatCode>General</c:formatCode>
                <c:ptCount val="7"/>
                <c:pt idx="0">
                  <c:v>-4273.1854999999996</c:v>
                </c:pt>
                <c:pt idx="1">
                  <c:v>-978.40935999999999</c:v>
                </c:pt>
                <c:pt idx="2">
                  <c:v>1637.1239</c:v>
                </c:pt>
                <c:pt idx="3">
                  <c:v>4354.5576000000001</c:v>
                </c:pt>
                <c:pt idx="4">
                  <c:v>6766.1977999999999</c:v>
                </c:pt>
                <c:pt idx="5">
                  <c:v>8974.223</c:v>
                </c:pt>
                <c:pt idx="6">
                  <c:v>10876.361000000001</c:v>
                </c:pt>
              </c:numCache>
            </c:numRef>
          </c:yVal>
          <c:smooth val="0"/>
          <c:extLst>
            <c:ext xmlns:c16="http://schemas.microsoft.com/office/drawing/2014/chart" uri="{C3380CC4-5D6E-409C-BE32-E72D297353CC}">
              <c16:uniqueId val="{00000000-D253-43B3-A04F-797AFFDBA3BD}"/>
            </c:ext>
          </c:extLst>
        </c:ser>
        <c:ser>
          <c:idx val="1"/>
          <c:order val="1"/>
          <c:tx>
            <c:strRef>
              <c:f>PA_DA_HIGE_HOGE!$N$10</c:f>
              <c:strCache>
                <c:ptCount val="1"/>
                <c:pt idx="0">
                  <c:v>4017.1103</c:v>
                </c:pt>
              </c:strCache>
            </c:strRef>
          </c:tx>
          <c:spPr>
            <a:ln w="25400" cap="rnd">
              <a:noFill/>
              <a:round/>
            </a:ln>
            <a:effectLst/>
          </c:spPr>
          <c:marker>
            <c:symbol val="circle"/>
            <c:size val="5"/>
            <c:spPr>
              <a:solidFill>
                <a:schemeClr val="accent2"/>
              </a:solidFill>
              <a:ln w="9525">
                <a:solidFill>
                  <a:schemeClr val="accent2"/>
                </a:solidFill>
              </a:ln>
              <a:effectLst/>
            </c:spPr>
          </c:marker>
          <c:xVal>
            <c:numRef>
              <c:f>PA_DA_HIGE_HOGE!$L$10:$L$15</c:f>
              <c:numCache>
                <c:formatCode>General</c:formatCode>
                <c:ptCount val="6"/>
                <c:pt idx="0">
                  <c:v>-40</c:v>
                </c:pt>
                <c:pt idx="1">
                  <c:v>-20</c:v>
                </c:pt>
                <c:pt idx="2">
                  <c:v>0</c:v>
                </c:pt>
                <c:pt idx="3">
                  <c:v>20</c:v>
                </c:pt>
                <c:pt idx="4">
                  <c:v>40</c:v>
                </c:pt>
                <c:pt idx="5">
                  <c:v>60</c:v>
                </c:pt>
              </c:numCache>
            </c:numRef>
          </c:xVal>
          <c:yVal>
            <c:numRef>
              <c:f>PA_DA_HIGE_HOGE!$O$10:$O$15</c:f>
              <c:numCache>
                <c:formatCode>General</c:formatCode>
                <c:ptCount val="6"/>
                <c:pt idx="0">
                  <c:v>-2271.7377999999999</c:v>
                </c:pt>
                <c:pt idx="1">
                  <c:v>377.66968000000003</c:v>
                </c:pt>
                <c:pt idx="2">
                  <c:v>3095.0106999999998</c:v>
                </c:pt>
                <c:pt idx="3">
                  <c:v>5574.6769999999997</c:v>
                </c:pt>
                <c:pt idx="4">
                  <c:v>7714.5829999999996</c:v>
                </c:pt>
                <c:pt idx="5">
                  <c:v>9684.7479999999996</c:v>
                </c:pt>
              </c:numCache>
            </c:numRef>
          </c:yVal>
          <c:smooth val="0"/>
          <c:extLst>
            <c:ext xmlns:c16="http://schemas.microsoft.com/office/drawing/2014/chart" uri="{C3380CC4-5D6E-409C-BE32-E72D297353CC}">
              <c16:uniqueId val="{00000002-D253-43B3-A04F-797AFFDBA3BD}"/>
            </c:ext>
          </c:extLst>
        </c:ser>
        <c:ser>
          <c:idx val="2"/>
          <c:order val="2"/>
          <c:tx>
            <c:strRef>
              <c:f>PA_DA_HIGE_HOGE!$N$17</c:f>
              <c:strCache>
                <c:ptCount val="1"/>
                <c:pt idx="0">
                  <c:v>2976.046867</c:v>
                </c:pt>
              </c:strCache>
            </c:strRef>
          </c:tx>
          <c:spPr>
            <a:ln w="25400" cap="rnd">
              <a:noFill/>
              <a:round/>
            </a:ln>
            <a:effectLst/>
          </c:spPr>
          <c:marker>
            <c:symbol val="circle"/>
            <c:size val="5"/>
            <c:spPr>
              <a:solidFill>
                <a:schemeClr val="accent3"/>
              </a:solidFill>
              <a:ln w="9525">
                <a:solidFill>
                  <a:schemeClr val="accent3"/>
                </a:solidFill>
              </a:ln>
              <a:effectLst/>
            </c:spPr>
          </c:marker>
          <c:xVal>
            <c:numRef>
              <c:f>PA_DA_HIGE_HOGE!$L$17:$L$22</c:f>
              <c:numCache>
                <c:formatCode>General</c:formatCode>
                <c:ptCount val="6"/>
                <c:pt idx="0">
                  <c:v>-40</c:v>
                </c:pt>
                <c:pt idx="1">
                  <c:v>-20</c:v>
                </c:pt>
                <c:pt idx="2">
                  <c:v>0</c:v>
                </c:pt>
                <c:pt idx="3">
                  <c:v>20</c:v>
                </c:pt>
                <c:pt idx="4">
                  <c:v>40</c:v>
                </c:pt>
                <c:pt idx="5">
                  <c:v>60</c:v>
                </c:pt>
              </c:numCache>
            </c:numRef>
          </c:xVal>
          <c:yVal>
            <c:numRef>
              <c:f>PA_DA_HIGE_HOGE!$O$17:$O$22</c:f>
              <c:numCache>
                <c:formatCode>General</c:formatCode>
                <c:ptCount val="6"/>
                <c:pt idx="0">
                  <c:v>-3633.3699000000001</c:v>
                </c:pt>
                <c:pt idx="1">
                  <c:v>-915.93640000000005</c:v>
                </c:pt>
                <c:pt idx="2">
                  <c:v>1903.3975</c:v>
                </c:pt>
                <c:pt idx="3">
                  <c:v>4281.0709999999999</c:v>
                </c:pt>
                <c:pt idx="4">
                  <c:v>6522.9696999999996</c:v>
                </c:pt>
                <c:pt idx="5">
                  <c:v>8459.1679999999997</c:v>
                </c:pt>
              </c:numCache>
            </c:numRef>
          </c:yVal>
          <c:smooth val="0"/>
          <c:extLst>
            <c:ext xmlns:c16="http://schemas.microsoft.com/office/drawing/2014/chart" uri="{C3380CC4-5D6E-409C-BE32-E72D297353CC}">
              <c16:uniqueId val="{00000003-D253-43B3-A04F-797AFFDBA3BD}"/>
            </c:ext>
          </c:extLst>
        </c:ser>
        <c:ser>
          <c:idx val="3"/>
          <c:order val="3"/>
          <c:tx>
            <c:strRef>
              <c:f>PA_DA_HIGE_HOGE!$N$24</c:f>
              <c:strCache>
                <c:ptCount val="1"/>
                <c:pt idx="0">
                  <c:v>2014.177633</c:v>
                </c:pt>
              </c:strCache>
            </c:strRef>
          </c:tx>
          <c:spPr>
            <a:ln w="25400" cap="rnd">
              <a:noFill/>
              <a:round/>
            </a:ln>
            <a:effectLst/>
          </c:spPr>
          <c:marker>
            <c:symbol val="circle"/>
            <c:size val="5"/>
            <c:spPr>
              <a:solidFill>
                <a:schemeClr val="accent4"/>
              </a:solidFill>
              <a:ln w="9525">
                <a:solidFill>
                  <a:schemeClr val="accent4"/>
                </a:solidFill>
              </a:ln>
              <a:effectLst/>
            </c:spPr>
          </c:marker>
          <c:xVal>
            <c:numRef>
              <c:f>PA_DA_HIGE_HOGE!$L$24:$L$29</c:f>
              <c:numCache>
                <c:formatCode>General</c:formatCode>
                <c:ptCount val="6"/>
                <c:pt idx="0">
                  <c:v>-40</c:v>
                </c:pt>
                <c:pt idx="1">
                  <c:v>-20</c:v>
                </c:pt>
                <c:pt idx="2">
                  <c:v>0</c:v>
                </c:pt>
                <c:pt idx="3">
                  <c:v>20</c:v>
                </c:pt>
                <c:pt idx="4">
                  <c:v>40</c:v>
                </c:pt>
                <c:pt idx="5">
                  <c:v>60</c:v>
                </c:pt>
              </c:numCache>
            </c:numRef>
          </c:xVal>
          <c:yVal>
            <c:numRef>
              <c:f>PA_DA_HIGE_HOGE!$O$24:$O$29</c:f>
              <c:numCache>
                <c:formatCode>General</c:formatCode>
                <c:ptCount val="6"/>
                <c:pt idx="0">
                  <c:v>-4790.7389999999996</c:v>
                </c:pt>
                <c:pt idx="1">
                  <c:v>-2073.3977</c:v>
                </c:pt>
                <c:pt idx="2">
                  <c:v>711.87670000000003</c:v>
                </c:pt>
                <c:pt idx="3">
                  <c:v>3157.5762</c:v>
                </c:pt>
                <c:pt idx="4">
                  <c:v>5433.442</c:v>
                </c:pt>
                <c:pt idx="5">
                  <c:v>7233.5879999999997</c:v>
                </c:pt>
              </c:numCache>
            </c:numRef>
          </c:yVal>
          <c:smooth val="0"/>
          <c:extLst>
            <c:ext xmlns:c16="http://schemas.microsoft.com/office/drawing/2014/chart" uri="{C3380CC4-5D6E-409C-BE32-E72D297353CC}">
              <c16:uniqueId val="{00000004-D253-43B3-A04F-797AFFDBA3BD}"/>
            </c:ext>
          </c:extLst>
        </c:ser>
        <c:ser>
          <c:idx val="4"/>
          <c:order val="4"/>
          <c:tx>
            <c:strRef>
              <c:f>PA_DA_HIGE_HOGE!$N$31</c:f>
              <c:strCache>
                <c:ptCount val="1"/>
                <c:pt idx="0">
                  <c:v>976.3902</c:v>
                </c:pt>
              </c:strCache>
            </c:strRef>
          </c:tx>
          <c:spPr>
            <a:ln w="25400" cap="rnd">
              <a:noFill/>
              <a:round/>
            </a:ln>
            <a:effectLst/>
          </c:spPr>
          <c:marker>
            <c:symbol val="circle"/>
            <c:size val="5"/>
            <c:spPr>
              <a:solidFill>
                <a:schemeClr val="accent5"/>
              </a:solidFill>
              <a:ln w="9525">
                <a:solidFill>
                  <a:schemeClr val="accent5"/>
                </a:solidFill>
              </a:ln>
              <a:effectLst/>
            </c:spPr>
          </c:marker>
          <c:xVal>
            <c:numRef>
              <c:f>PA_DA_HIGE_HOGE!$L$31:$L$35</c:f>
              <c:numCache>
                <c:formatCode>General</c:formatCode>
                <c:ptCount val="5"/>
                <c:pt idx="0">
                  <c:v>-20</c:v>
                </c:pt>
                <c:pt idx="1">
                  <c:v>0</c:v>
                </c:pt>
                <c:pt idx="2">
                  <c:v>20</c:v>
                </c:pt>
                <c:pt idx="3">
                  <c:v>40</c:v>
                </c:pt>
                <c:pt idx="4">
                  <c:v>60</c:v>
                </c:pt>
              </c:numCache>
            </c:numRef>
          </c:xVal>
          <c:yVal>
            <c:numRef>
              <c:f>PA_DA_HIGE_HOGE!$O$31:$O$35</c:f>
              <c:numCache>
                <c:formatCode>General</c:formatCode>
                <c:ptCount val="5"/>
                <c:pt idx="0">
                  <c:v>-3400.9706999999999</c:v>
                </c:pt>
                <c:pt idx="1">
                  <c:v>-581.72940000000006</c:v>
                </c:pt>
                <c:pt idx="2">
                  <c:v>1863.9701</c:v>
                </c:pt>
                <c:pt idx="3">
                  <c:v>4241.7359999999999</c:v>
                </c:pt>
                <c:pt idx="4">
                  <c:v>6110.0005000000001</c:v>
                </c:pt>
              </c:numCache>
            </c:numRef>
          </c:yVal>
          <c:smooth val="0"/>
          <c:extLst>
            <c:ext xmlns:c16="http://schemas.microsoft.com/office/drawing/2014/chart" uri="{C3380CC4-5D6E-409C-BE32-E72D297353CC}">
              <c16:uniqueId val="{00000005-D253-43B3-A04F-797AFFDBA3BD}"/>
            </c:ext>
          </c:extLst>
        </c:ser>
        <c:ser>
          <c:idx val="5"/>
          <c:order val="5"/>
          <c:tx>
            <c:strRef>
              <c:f>PA_DA_HIGE_HOGE!$N$37</c:f>
              <c:strCache>
                <c:ptCount val="1"/>
                <c:pt idx="0">
                  <c:v>15.53567444</c:v>
                </c:pt>
              </c:strCache>
            </c:strRef>
          </c:tx>
          <c:spPr>
            <a:ln w="25400" cap="rnd">
              <a:noFill/>
              <a:round/>
            </a:ln>
            <a:effectLst/>
          </c:spPr>
          <c:marker>
            <c:symbol val="circle"/>
            <c:size val="5"/>
            <c:spPr>
              <a:solidFill>
                <a:schemeClr val="accent6"/>
              </a:solidFill>
              <a:ln w="9525">
                <a:solidFill>
                  <a:schemeClr val="accent6"/>
                </a:solidFill>
              </a:ln>
              <a:effectLst/>
            </c:spPr>
          </c:marker>
          <c:xVal>
            <c:numRef>
              <c:f>PA_DA_HIGE_HOGE!$L$37:$L$41</c:f>
              <c:numCache>
                <c:formatCode>General</c:formatCode>
                <c:ptCount val="5"/>
                <c:pt idx="0">
                  <c:v>-20</c:v>
                </c:pt>
                <c:pt idx="1">
                  <c:v>0</c:v>
                </c:pt>
                <c:pt idx="2">
                  <c:v>20</c:v>
                </c:pt>
                <c:pt idx="3">
                  <c:v>40</c:v>
                </c:pt>
                <c:pt idx="4">
                  <c:v>60</c:v>
                </c:pt>
              </c:numCache>
            </c:numRef>
          </c:xVal>
          <c:yVal>
            <c:numRef>
              <c:f>PA_DA_HIGE_HOGE!$O$37:$O$41</c:f>
              <c:numCache>
                <c:formatCode>General</c:formatCode>
                <c:ptCount val="5"/>
                <c:pt idx="0">
                  <c:v>-4524.4652999999998</c:v>
                </c:pt>
                <c:pt idx="1">
                  <c:v>-1637.2443000000001</c:v>
                </c:pt>
                <c:pt idx="2">
                  <c:v>740.47540000000004</c:v>
                </c:pt>
                <c:pt idx="3">
                  <c:v>3067.2449000000001</c:v>
                </c:pt>
                <c:pt idx="4">
                  <c:v>5020.3339999999998</c:v>
                </c:pt>
              </c:numCache>
            </c:numRef>
          </c:yVal>
          <c:smooth val="0"/>
          <c:extLst>
            <c:ext xmlns:c16="http://schemas.microsoft.com/office/drawing/2014/chart" uri="{C3380CC4-5D6E-409C-BE32-E72D297353CC}">
              <c16:uniqueId val="{00000006-D253-43B3-A04F-797AFFDBA3BD}"/>
            </c:ext>
          </c:extLst>
        </c:ser>
        <c:dLbls>
          <c:showLegendKey val="0"/>
          <c:showVal val="0"/>
          <c:showCatName val="0"/>
          <c:showSerName val="0"/>
          <c:showPercent val="0"/>
          <c:showBubbleSize val="0"/>
        </c:dLbls>
        <c:axId val="429686872"/>
        <c:axId val="575524864"/>
      </c:scatterChart>
      <c:valAx>
        <c:axId val="42968687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Temp (*C)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5524864"/>
        <c:crosses val="autoZero"/>
        <c:crossBetween val="midCat"/>
      </c:valAx>
      <c:valAx>
        <c:axId val="575524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PA (ft)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968687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61124547653249E-2"/>
          <c:y val="3.7262872628726289E-2"/>
          <c:w val="0.54538560855412699"/>
          <c:h val="0.82944845495479391"/>
        </c:manualLayout>
      </c:layout>
      <c:scatterChart>
        <c:scatterStyle val="lineMarker"/>
        <c:varyColors val="0"/>
        <c:ser>
          <c:idx val="0"/>
          <c:order val="0"/>
          <c:tx>
            <c:strRef>
              <c:f>PA_DA_HIGE_HOGE!$Z$2</c:f>
              <c:strCache>
                <c:ptCount val="1"/>
                <c:pt idx="0">
                  <c:v>3350</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4"/>
            <c:dispRSqr val="1"/>
            <c:dispEq val="1"/>
            <c:trendlineLbl>
              <c:layout>
                <c:manualLayout>
                  <c:x val="0.44583750068192984"/>
                  <c:y val="0.36406313588794853"/>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600" baseline="0"/>
                      <a:t>y = 3E-16x</a:t>
                    </a:r>
                    <a:r>
                      <a:rPr lang="en-US" sz="600" baseline="30000"/>
                      <a:t>4</a:t>
                    </a:r>
                    <a:r>
                      <a:rPr lang="en-US" sz="600" baseline="0"/>
                      <a:t> - 4E-12x</a:t>
                    </a:r>
                    <a:r>
                      <a:rPr lang="en-US" sz="600" baseline="30000"/>
                      <a:t>3</a:t>
                    </a:r>
                    <a:r>
                      <a:rPr lang="en-US" sz="600" baseline="0"/>
                      <a:t> + 3E-08x</a:t>
                    </a:r>
                    <a:r>
                      <a:rPr lang="en-US" sz="600" baseline="30000"/>
                      <a:t>2</a:t>
                    </a:r>
                    <a:r>
                      <a:rPr lang="en-US" sz="600" baseline="0"/>
                      <a:t> + 0.0011x + 100.17</a:t>
                    </a:r>
                    <a:br>
                      <a:rPr lang="en-US" sz="600" baseline="0"/>
                    </a:br>
                    <a:r>
                      <a:rPr lang="en-US" sz="600" baseline="0"/>
                      <a:t>R² = 1</a:t>
                    </a:r>
                    <a:endParaRPr lang="en-US" sz="600"/>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PA_DA_HIGE_HOGE!$Z$4:$Z$12</c:f>
              <c:numCache>
                <c:formatCode>General</c:formatCode>
                <c:ptCount val="9"/>
                <c:pt idx="0">
                  <c:v>-4942.9004000000004</c:v>
                </c:pt>
                <c:pt idx="1">
                  <c:v>-2465.8503000000001</c:v>
                </c:pt>
                <c:pt idx="2">
                  <c:v>47.460799999999999</c:v>
                </c:pt>
                <c:pt idx="3">
                  <c:v>2527.6318000000001</c:v>
                </c:pt>
                <c:pt idx="4">
                  <c:v>5042.7790000000005</c:v>
                </c:pt>
                <c:pt idx="5">
                  <c:v>7456.8540000000003</c:v>
                </c:pt>
                <c:pt idx="6">
                  <c:v>9940.33</c:v>
                </c:pt>
                <c:pt idx="7">
                  <c:v>12462.270500000001</c:v>
                </c:pt>
                <c:pt idx="8">
                  <c:v>12871.884</c:v>
                </c:pt>
              </c:numCache>
            </c:numRef>
          </c:xVal>
          <c:yVal>
            <c:numRef>
              <c:f>PA_DA_HIGE_HOGE!$AA$4:$AA$12</c:f>
              <c:numCache>
                <c:formatCode>General</c:formatCode>
                <c:ptCount val="9"/>
                <c:pt idx="0">
                  <c:v>96.280190000000005</c:v>
                </c:pt>
                <c:pt idx="1">
                  <c:v>97.820859999999996</c:v>
                </c:pt>
                <c:pt idx="2">
                  <c:v>100.24722</c:v>
                </c:pt>
                <c:pt idx="3">
                  <c:v>102.94659</c:v>
                </c:pt>
                <c:pt idx="4">
                  <c:v>106.05453</c:v>
                </c:pt>
                <c:pt idx="5">
                  <c:v>109.36805</c:v>
                </c:pt>
                <c:pt idx="6">
                  <c:v>113.29426599999999</c:v>
                </c:pt>
                <c:pt idx="7">
                  <c:v>118.92406</c:v>
                </c:pt>
                <c:pt idx="8">
                  <c:v>120.078316</c:v>
                </c:pt>
              </c:numCache>
            </c:numRef>
          </c:yVal>
          <c:smooth val="0"/>
          <c:extLst>
            <c:ext xmlns:c16="http://schemas.microsoft.com/office/drawing/2014/chart" uri="{C3380CC4-5D6E-409C-BE32-E72D297353CC}">
              <c16:uniqueId val="{00000000-E5FE-4E53-AA67-9C5E8B533E36}"/>
            </c:ext>
          </c:extLst>
        </c:ser>
        <c:ser>
          <c:idx val="1"/>
          <c:order val="1"/>
          <c:tx>
            <c:strRef>
              <c:f>PA_DA_HIGE_HOGE!$AB$2</c:f>
              <c:strCache>
                <c:ptCount val="1"/>
                <c:pt idx="0">
                  <c:v>3200</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poly"/>
            <c:order val="4"/>
            <c:dispRSqr val="1"/>
            <c:dispEq val="1"/>
            <c:trendlineLbl>
              <c:layout>
                <c:manualLayout>
                  <c:x val="0.38878861995599284"/>
                  <c:y val="0.41684900075626524"/>
                </c:manualLayout>
              </c:layout>
              <c:numFmt formatCode="General" sourceLinked="0"/>
              <c:spPr>
                <a:noFill/>
                <a:ln>
                  <a:noFill/>
                </a:ln>
                <a:effectLst/>
              </c:spPr>
              <c:txPr>
                <a:bodyPr rot="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trendlineLbl>
          </c:trendline>
          <c:xVal>
            <c:numRef>
              <c:f>PA_DA_HIGE_HOGE!$AB$4:$AB$13</c:f>
              <c:numCache>
                <c:formatCode>General</c:formatCode>
                <c:ptCount val="10"/>
                <c:pt idx="0">
                  <c:v>-4958.6899999999996</c:v>
                </c:pt>
                <c:pt idx="1">
                  <c:v>-2481.4562999999998</c:v>
                </c:pt>
                <c:pt idx="2">
                  <c:v>64.994675000000001</c:v>
                </c:pt>
                <c:pt idx="3">
                  <c:v>2578.4893000000002</c:v>
                </c:pt>
                <c:pt idx="4">
                  <c:v>4990.7280000000001</c:v>
                </c:pt>
                <c:pt idx="5">
                  <c:v>7505.5079999999998</c:v>
                </c:pt>
                <c:pt idx="6">
                  <c:v>9987.1470000000008</c:v>
                </c:pt>
                <c:pt idx="7">
                  <c:v>12437.668</c:v>
                </c:pt>
                <c:pt idx="8">
                  <c:v>14995.502</c:v>
                </c:pt>
                <c:pt idx="9">
                  <c:v>16157.511</c:v>
                </c:pt>
              </c:numCache>
            </c:numRef>
          </c:xVal>
          <c:yVal>
            <c:numRef>
              <c:f>PA_DA_HIGE_HOGE!$AC$4:$AC$13</c:f>
              <c:numCache>
                <c:formatCode>General</c:formatCode>
                <c:ptCount val="10"/>
                <c:pt idx="0">
                  <c:v>90.418580000000006</c:v>
                </c:pt>
                <c:pt idx="1">
                  <c:v>92.027410000000003</c:v>
                </c:pt>
                <c:pt idx="2">
                  <c:v>94.180769999999995</c:v>
                </c:pt>
                <c:pt idx="3">
                  <c:v>96.675285000000002</c:v>
                </c:pt>
                <c:pt idx="4">
                  <c:v>99.307230000000004</c:v>
                </c:pt>
                <c:pt idx="5">
                  <c:v>102.278854</c:v>
                </c:pt>
                <c:pt idx="6">
                  <c:v>105.52348000000001</c:v>
                </c:pt>
                <c:pt idx="7">
                  <c:v>109.79085499999999</c:v>
                </c:pt>
                <c:pt idx="8">
                  <c:v>116.17001999999999</c:v>
                </c:pt>
                <c:pt idx="9">
                  <c:v>119.97432999999999</c:v>
                </c:pt>
              </c:numCache>
            </c:numRef>
          </c:yVal>
          <c:smooth val="0"/>
          <c:extLst>
            <c:ext xmlns:c16="http://schemas.microsoft.com/office/drawing/2014/chart" uri="{C3380CC4-5D6E-409C-BE32-E72D297353CC}">
              <c16:uniqueId val="{00000001-E5FE-4E53-AA67-9C5E8B533E36}"/>
            </c:ext>
          </c:extLst>
        </c:ser>
        <c:ser>
          <c:idx val="2"/>
          <c:order val="2"/>
          <c:tx>
            <c:strRef>
              <c:f>PA_DA_HIGE_HOGE!$AD$2</c:f>
              <c:strCache>
                <c:ptCount val="1"/>
                <c:pt idx="0">
                  <c:v>3000</c:v>
                </c:pt>
              </c:strCache>
            </c:strRef>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poly"/>
            <c:order val="5"/>
            <c:dispRSqr val="1"/>
            <c:dispEq val="1"/>
            <c:trendlineLbl>
              <c:layout>
                <c:manualLayout>
                  <c:x val="0.33658477447824797"/>
                  <c:y val="0.45384552343056289"/>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600" baseline="0"/>
                      <a:t>y = -8E-21x</a:t>
                    </a:r>
                    <a:r>
                      <a:rPr lang="en-US" sz="600" baseline="30000"/>
                      <a:t>5</a:t>
                    </a:r>
                    <a:r>
                      <a:rPr lang="en-US" sz="600" baseline="0"/>
                      <a:t> + 4E-16x</a:t>
                    </a:r>
                    <a:r>
                      <a:rPr lang="en-US" sz="600" baseline="30000"/>
                      <a:t>4</a:t>
                    </a:r>
                    <a:r>
                      <a:rPr lang="en-US" sz="600" baseline="0"/>
                      <a:t> - 4E-12x</a:t>
                    </a:r>
                    <a:r>
                      <a:rPr lang="en-US" sz="600" baseline="30000"/>
                      <a:t>3</a:t>
                    </a:r>
                    <a:r>
                      <a:rPr lang="en-US" sz="600" baseline="0"/>
                      <a:t> + 2E-08x</a:t>
                    </a:r>
                    <a:r>
                      <a:rPr lang="en-US" sz="600" baseline="30000"/>
                      <a:t>2</a:t>
                    </a:r>
                    <a:r>
                      <a:rPr lang="en-US" sz="600" baseline="0"/>
                      <a:t> + 0.0008x + 86.296</a:t>
                    </a:r>
                    <a:br>
                      <a:rPr lang="en-US" sz="600" baseline="0"/>
                    </a:br>
                    <a:r>
                      <a:rPr lang="en-US" sz="600" baseline="0"/>
                      <a:t>R² = 1</a:t>
                    </a:r>
                    <a:endParaRPr lang="en-US" sz="600"/>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PA_DA_HIGE_HOGE!$AD$4:$AD$14</c:f>
              <c:numCache>
                <c:formatCode>General</c:formatCode>
                <c:ptCount val="11"/>
                <c:pt idx="0">
                  <c:v>-4943.7266</c:v>
                </c:pt>
                <c:pt idx="1">
                  <c:v>-2467.7779999999998</c:v>
                </c:pt>
                <c:pt idx="2">
                  <c:v>43.696987</c:v>
                </c:pt>
                <c:pt idx="3">
                  <c:v>2556.4573</c:v>
                </c:pt>
                <c:pt idx="4">
                  <c:v>5035.8940000000002</c:v>
                </c:pt>
                <c:pt idx="5">
                  <c:v>7481.64</c:v>
                </c:pt>
                <c:pt idx="6">
                  <c:v>9996.42</c:v>
                </c:pt>
                <c:pt idx="7">
                  <c:v>12512.668</c:v>
                </c:pt>
                <c:pt idx="8">
                  <c:v>14964.106</c:v>
                </c:pt>
                <c:pt idx="9">
                  <c:v>17452.723000000002</c:v>
                </c:pt>
                <c:pt idx="10">
                  <c:v>20012.208999999999</c:v>
                </c:pt>
              </c:numCache>
            </c:numRef>
          </c:xVal>
          <c:yVal>
            <c:numRef>
              <c:f>PA_DA_HIGE_HOGE!$AE$4:$AE$14</c:f>
              <c:numCache>
                <c:formatCode>General</c:formatCode>
                <c:ptCount val="11"/>
                <c:pt idx="0">
                  <c:v>83.397909999999996</c:v>
                </c:pt>
                <c:pt idx="1">
                  <c:v>84.529629999999997</c:v>
                </c:pt>
                <c:pt idx="2">
                  <c:v>86.274413999999993</c:v>
                </c:pt>
                <c:pt idx="3">
                  <c:v>88.496300000000005</c:v>
                </c:pt>
                <c:pt idx="4">
                  <c:v>90.923029999999997</c:v>
                </c:pt>
                <c:pt idx="5">
                  <c:v>93.418279999999996</c:v>
                </c:pt>
                <c:pt idx="6">
                  <c:v>96.38991</c:v>
                </c:pt>
                <c:pt idx="7">
                  <c:v>99.906800000000004</c:v>
                </c:pt>
                <c:pt idx="8">
                  <c:v>104.51496</c:v>
                </c:pt>
                <c:pt idx="9">
                  <c:v>110.3496</c:v>
                </c:pt>
                <c:pt idx="10">
                  <c:v>117.34220000000001</c:v>
                </c:pt>
              </c:numCache>
            </c:numRef>
          </c:yVal>
          <c:smooth val="0"/>
          <c:extLst>
            <c:ext xmlns:c16="http://schemas.microsoft.com/office/drawing/2014/chart" uri="{C3380CC4-5D6E-409C-BE32-E72D297353CC}">
              <c16:uniqueId val="{00000002-E5FE-4E53-AA67-9C5E8B533E36}"/>
            </c:ext>
          </c:extLst>
        </c:ser>
        <c:ser>
          <c:idx val="3"/>
          <c:order val="3"/>
          <c:tx>
            <c:strRef>
              <c:f>PA_DA_HIGE_HOGE!$AF$2</c:f>
              <c:strCache>
                <c:ptCount val="1"/>
                <c:pt idx="0">
                  <c:v>2800</c:v>
                </c:pt>
              </c:strCache>
            </c:strRef>
          </c:tx>
          <c:spPr>
            <a:ln w="25400" cap="rnd">
              <a:no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poly"/>
            <c:order val="5"/>
            <c:dispRSqr val="1"/>
            <c:dispEq val="1"/>
            <c:trendlineLbl>
              <c:layout>
                <c:manualLayout>
                  <c:x val="0.33168094172985885"/>
                  <c:y val="0.41516368974306828"/>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600" baseline="0"/>
                      <a:t>y = 3E-21x</a:t>
                    </a:r>
                    <a:r>
                      <a:rPr lang="en-US" sz="600" baseline="30000"/>
                      <a:t>5</a:t>
                    </a:r>
                    <a:r>
                      <a:rPr lang="en-US" sz="600" baseline="0"/>
                      <a:t> + 1E-17x</a:t>
                    </a:r>
                    <a:r>
                      <a:rPr lang="en-US" sz="600" baseline="30000"/>
                      <a:t>4</a:t>
                    </a:r>
                    <a:r>
                      <a:rPr lang="en-US" sz="600" baseline="0"/>
                      <a:t> - 2E-12x</a:t>
                    </a:r>
                    <a:r>
                      <a:rPr lang="en-US" sz="600" baseline="30000"/>
                      <a:t>3</a:t>
                    </a:r>
                    <a:r>
                      <a:rPr lang="en-US" sz="600" baseline="0"/>
                      <a:t> + 3E-08x</a:t>
                    </a:r>
                    <a:r>
                      <a:rPr lang="en-US" sz="600" baseline="30000"/>
                      <a:t>2</a:t>
                    </a:r>
                    <a:r>
                      <a:rPr lang="en-US" sz="600" baseline="0"/>
                      <a:t> + 0.0007x + 78.698</a:t>
                    </a:r>
                    <a:br>
                      <a:rPr lang="en-US" sz="600" baseline="0"/>
                    </a:br>
                    <a:r>
                      <a:rPr lang="en-US" sz="600" baseline="0"/>
                      <a:t>R² = 1</a:t>
                    </a:r>
                    <a:endParaRPr lang="en-US" sz="600"/>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PA_DA_HIGE_HOGE!$AF$4:$AF$14</c:f>
              <c:numCache>
                <c:formatCode>General</c:formatCode>
                <c:ptCount val="11"/>
                <c:pt idx="0">
                  <c:v>-4929.6806999999999</c:v>
                </c:pt>
                <c:pt idx="1">
                  <c:v>-2487.7905000000001</c:v>
                </c:pt>
                <c:pt idx="2">
                  <c:v>23.317298999999998</c:v>
                </c:pt>
                <c:pt idx="3">
                  <c:v>2535.5268999999998</c:v>
                </c:pt>
                <c:pt idx="4">
                  <c:v>5048.1035000000002</c:v>
                </c:pt>
                <c:pt idx="5">
                  <c:v>7493.2983000000004</c:v>
                </c:pt>
                <c:pt idx="6">
                  <c:v>9972.9189999999999</c:v>
                </c:pt>
                <c:pt idx="7">
                  <c:v>12487.332</c:v>
                </c:pt>
                <c:pt idx="8">
                  <c:v>14968.604499999999</c:v>
                </c:pt>
                <c:pt idx="9">
                  <c:v>17453.548999999999</c:v>
                </c:pt>
                <c:pt idx="10">
                  <c:v>19976.775000000001</c:v>
                </c:pt>
              </c:numCache>
            </c:numRef>
          </c:xVal>
          <c:yVal>
            <c:numRef>
              <c:f>PA_DA_HIGE_HOGE!$AG$4:$AG$14</c:f>
              <c:numCache>
                <c:formatCode>General</c:formatCode>
                <c:ptCount val="11"/>
                <c:pt idx="0">
                  <c:v>76.036450000000002</c:v>
                </c:pt>
                <c:pt idx="1">
                  <c:v>77.100390000000004</c:v>
                </c:pt>
                <c:pt idx="2">
                  <c:v>78.708849999999998</c:v>
                </c:pt>
                <c:pt idx="3">
                  <c:v>80.726259999999996</c:v>
                </c:pt>
                <c:pt idx="4">
                  <c:v>82.879980000000003</c:v>
                </c:pt>
                <c:pt idx="5">
                  <c:v>85.170770000000005</c:v>
                </c:pt>
                <c:pt idx="6">
                  <c:v>87.665649999999999</c:v>
                </c:pt>
                <c:pt idx="7">
                  <c:v>90.500960000000006</c:v>
                </c:pt>
                <c:pt idx="8">
                  <c:v>93.609275999999994</c:v>
                </c:pt>
                <c:pt idx="9">
                  <c:v>98.080749999999995</c:v>
                </c:pt>
                <c:pt idx="10">
                  <c:v>104.18765</c:v>
                </c:pt>
              </c:numCache>
            </c:numRef>
          </c:yVal>
          <c:smooth val="0"/>
          <c:extLst>
            <c:ext xmlns:c16="http://schemas.microsoft.com/office/drawing/2014/chart" uri="{C3380CC4-5D6E-409C-BE32-E72D297353CC}">
              <c16:uniqueId val="{00000003-E5FE-4E53-AA67-9C5E8B533E36}"/>
            </c:ext>
          </c:extLst>
        </c:ser>
        <c:ser>
          <c:idx val="4"/>
          <c:order val="4"/>
          <c:tx>
            <c:strRef>
              <c:f>PA_DA_HIGE_HOGE!$AH$2</c:f>
              <c:strCache>
                <c:ptCount val="1"/>
                <c:pt idx="0">
                  <c:v>2600</c:v>
                </c:pt>
              </c:strCache>
            </c:strRef>
          </c:tx>
          <c:spPr>
            <a:ln w="25400" cap="rnd">
              <a:noFill/>
              <a:round/>
            </a:ln>
            <a:effectLst/>
          </c:spPr>
          <c:marker>
            <c:symbol val="circle"/>
            <c:size val="5"/>
            <c:spPr>
              <a:solidFill>
                <a:schemeClr val="accent5"/>
              </a:solidFill>
              <a:ln w="9525">
                <a:solidFill>
                  <a:schemeClr val="accent5"/>
                </a:solidFill>
              </a:ln>
              <a:effectLst/>
            </c:spPr>
          </c:marker>
          <c:trendline>
            <c:spPr>
              <a:ln w="19050" cap="rnd">
                <a:solidFill>
                  <a:schemeClr val="accent5"/>
                </a:solidFill>
                <a:prstDash val="sysDot"/>
              </a:ln>
              <a:effectLst/>
            </c:spPr>
            <c:trendlineType val="poly"/>
            <c:order val="5"/>
            <c:dispRSqr val="1"/>
            <c:dispEq val="1"/>
            <c:trendlineLbl>
              <c:layout>
                <c:manualLayout>
                  <c:x val="0.32910718723669935"/>
                  <c:y val="0.386966834769708"/>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600" baseline="0"/>
                      <a:t>y = 1E-21x</a:t>
                    </a:r>
                    <a:r>
                      <a:rPr lang="en-US" sz="600" baseline="30000"/>
                      <a:t>5</a:t>
                    </a:r>
                    <a:r>
                      <a:rPr lang="en-US" sz="600" baseline="0"/>
                      <a:t> + 5E-17x</a:t>
                    </a:r>
                    <a:r>
                      <a:rPr lang="en-US" sz="600" baseline="30000"/>
                      <a:t>4</a:t>
                    </a:r>
                    <a:r>
                      <a:rPr lang="en-US" sz="600" baseline="0"/>
                      <a:t> - 2E-12x</a:t>
                    </a:r>
                    <a:r>
                      <a:rPr lang="en-US" sz="600" baseline="30000"/>
                      <a:t>3</a:t>
                    </a:r>
                    <a:r>
                      <a:rPr lang="en-US" sz="600" baseline="0"/>
                      <a:t> + 3E-08x</a:t>
                    </a:r>
                    <a:r>
                      <a:rPr lang="en-US" sz="600" baseline="30000"/>
                      <a:t>2</a:t>
                    </a:r>
                    <a:r>
                      <a:rPr lang="en-US" sz="600" baseline="0"/>
                      <a:t> + 0.0006x + 71.07</a:t>
                    </a:r>
                    <a:br>
                      <a:rPr lang="en-US" sz="600" baseline="0"/>
                    </a:br>
                    <a:r>
                      <a:rPr lang="en-US" sz="600" baseline="0"/>
                      <a:t>R² = 0.9999</a:t>
                    </a:r>
                    <a:endParaRPr lang="en-US" sz="600"/>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PA_DA_HIGE_HOGE!$AH$4:$AH$14</c:f>
              <c:numCache>
                <c:formatCode>General</c:formatCode>
                <c:ptCount val="11"/>
                <c:pt idx="0">
                  <c:v>-4981.5483000000004</c:v>
                </c:pt>
                <c:pt idx="1">
                  <c:v>-2507.2521999999999</c:v>
                </c:pt>
                <c:pt idx="2">
                  <c:v>2.7540116000000001</c:v>
                </c:pt>
                <c:pt idx="3">
                  <c:v>2514.0454</c:v>
                </c:pt>
                <c:pt idx="4">
                  <c:v>5025.3370000000004</c:v>
                </c:pt>
                <c:pt idx="5">
                  <c:v>7503.8554999999997</c:v>
                </c:pt>
                <c:pt idx="6">
                  <c:v>9982.9249999999993</c:v>
                </c:pt>
                <c:pt idx="7">
                  <c:v>12496.236000000001</c:v>
                </c:pt>
                <c:pt idx="8">
                  <c:v>14976.224</c:v>
                </c:pt>
                <c:pt idx="9">
                  <c:v>17425.643</c:v>
                </c:pt>
                <c:pt idx="10">
                  <c:v>20013.493999999999</c:v>
                </c:pt>
              </c:numCache>
            </c:numRef>
          </c:xVal>
          <c:yVal>
            <c:numRef>
              <c:f>PA_DA_HIGE_HOGE!$AI$4:$AI$14</c:f>
              <c:numCache>
                <c:formatCode>General</c:formatCode>
                <c:ptCount val="11"/>
                <c:pt idx="0">
                  <c:v>69.357315</c:v>
                </c:pt>
                <c:pt idx="1">
                  <c:v>69.875609999999995</c:v>
                </c:pt>
                <c:pt idx="2">
                  <c:v>71.075119999999998</c:v>
                </c:pt>
                <c:pt idx="3">
                  <c:v>72.751739999999998</c:v>
                </c:pt>
                <c:pt idx="4">
                  <c:v>74.428359999999998</c:v>
                </c:pt>
                <c:pt idx="5">
                  <c:v>76.514300000000006</c:v>
                </c:pt>
                <c:pt idx="6">
                  <c:v>78.80471</c:v>
                </c:pt>
                <c:pt idx="7">
                  <c:v>81.231070000000003</c:v>
                </c:pt>
                <c:pt idx="8">
                  <c:v>83.862273999999999</c:v>
                </c:pt>
                <c:pt idx="9">
                  <c:v>87.720695000000006</c:v>
                </c:pt>
                <c:pt idx="10">
                  <c:v>92.668175000000005</c:v>
                </c:pt>
              </c:numCache>
            </c:numRef>
          </c:yVal>
          <c:smooth val="0"/>
          <c:extLst>
            <c:ext xmlns:c16="http://schemas.microsoft.com/office/drawing/2014/chart" uri="{C3380CC4-5D6E-409C-BE32-E72D297353CC}">
              <c16:uniqueId val="{00000004-E5FE-4E53-AA67-9C5E8B533E36}"/>
            </c:ext>
          </c:extLst>
        </c:ser>
        <c:ser>
          <c:idx val="5"/>
          <c:order val="5"/>
          <c:tx>
            <c:strRef>
              <c:f>PA_DA_HIGE_HOGE!$AJ$2</c:f>
              <c:strCache>
                <c:ptCount val="1"/>
                <c:pt idx="0">
                  <c:v>2400</c:v>
                </c:pt>
              </c:strCache>
            </c:strRef>
          </c:tx>
          <c:spPr>
            <a:ln w="25400" cap="rnd">
              <a:noFill/>
              <a:round/>
            </a:ln>
            <a:effectLst/>
          </c:spPr>
          <c:marker>
            <c:symbol val="circle"/>
            <c:size val="5"/>
            <c:spPr>
              <a:solidFill>
                <a:schemeClr val="accent6"/>
              </a:solidFill>
              <a:ln w="9525">
                <a:solidFill>
                  <a:schemeClr val="accent6"/>
                </a:solidFill>
              </a:ln>
              <a:effectLst/>
            </c:spPr>
          </c:marker>
          <c:trendline>
            <c:spPr>
              <a:ln w="19050" cap="rnd">
                <a:solidFill>
                  <a:schemeClr val="accent6"/>
                </a:solidFill>
                <a:prstDash val="sysDot"/>
              </a:ln>
              <a:effectLst/>
            </c:spPr>
            <c:trendlineType val="poly"/>
            <c:order val="5"/>
            <c:dispRSqr val="1"/>
            <c:dispEq val="1"/>
            <c:trendlineLbl>
              <c:layout>
                <c:manualLayout>
                  <c:x val="0.33272505197820251"/>
                  <c:y val="0.35049379052317253"/>
                </c:manualLayout>
              </c:layout>
              <c:numFmt formatCode="General" sourceLinked="0"/>
              <c:spPr>
                <a:noFill/>
                <a:ln>
                  <a:noFill/>
                </a:ln>
                <a:effectLst/>
              </c:spPr>
              <c:txPr>
                <a:bodyPr rot="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trendlineLbl>
          </c:trendline>
          <c:xVal>
            <c:numRef>
              <c:f>PA_DA_HIGE_HOGE!$AJ$4:$AJ$14</c:f>
              <c:numCache>
                <c:formatCode>General</c:formatCode>
                <c:ptCount val="11"/>
                <c:pt idx="0">
                  <c:v>-4962.7290000000003</c:v>
                </c:pt>
                <c:pt idx="1">
                  <c:v>-2557.0999000000002</c:v>
                </c:pt>
                <c:pt idx="2">
                  <c:v>-14.504460999999999</c:v>
                </c:pt>
                <c:pt idx="3">
                  <c:v>2494.951</c:v>
                </c:pt>
                <c:pt idx="4">
                  <c:v>5039.5659999999998</c:v>
                </c:pt>
                <c:pt idx="5">
                  <c:v>7516.7992999999997</c:v>
                </c:pt>
                <c:pt idx="6">
                  <c:v>9961.4429999999993</c:v>
                </c:pt>
                <c:pt idx="7">
                  <c:v>12507.527</c:v>
                </c:pt>
                <c:pt idx="8">
                  <c:v>14986.597</c:v>
                </c:pt>
                <c:pt idx="9">
                  <c:v>17500.275000000001</c:v>
                </c:pt>
                <c:pt idx="10">
                  <c:v>20014.136999999999</c:v>
                </c:pt>
              </c:numCache>
            </c:numRef>
          </c:xVal>
          <c:yVal>
            <c:numRef>
              <c:f>PA_DA_HIGE_HOGE!$AK$4:$AK$14</c:f>
              <c:numCache>
                <c:formatCode>General</c:formatCode>
                <c:ptCount val="11"/>
                <c:pt idx="0">
                  <c:v>63.767966999999999</c:v>
                </c:pt>
                <c:pt idx="1">
                  <c:v>63.946213</c:v>
                </c:pt>
                <c:pt idx="2">
                  <c:v>64.668239999999997</c:v>
                </c:pt>
                <c:pt idx="3">
                  <c:v>65.663284000000004</c:v>
                </c:pt>
                <c:pt idx="4">
                  <c:v>67.135056000000006</c:v>
                </c:pt>
                <c:pt idx="5">
                  <c:v>68.743889999999993</c:v>
                </c:pt>
                <c:pt idx="6">
                  <c:v>70.830190000000002</c:v>
                </c:pt>
                <c:pt idx="7">
                  <c:v>72.847239999999999</c:v>
                </c:pt>
                <c:pt idx="8">
                  <c:v>75.137649999999994</c:v>
                </c:pt>
                <c:pt idx="9">
                  <c:v>77.700325000000007</c:v>
                </c:pt>
                <c:pt idx="10">
                  <c:v>80.331159999999997</c:v>
                </c:pt>
              </c:numCache>
            </c:numRef>
          </c:yVal>
          <c:smooth val="0"/>
          <c:extLst>
            <c:ext xmlns:c16="http://schemas.microsoft.com/office/drawing/2014/chart" uri="{C3380CC4-5D6E-409C-BE32-E72D297353CC}">
              <c16:uniqueId val="{00000005-E5FE-4E53-AA67-9C5E8B533E36}"/>
            </c:ext>
          </c:extLst>
        </c:ser>
        <c:ser>
          <c:idx val="6"/>
          <c:order val="6"/>
          <c:tx>
            <c:strRef>
              <c:f>PA_DA_HIGE_HOGE!$AL$2</c:f>
              <c:strCache>
                <c:ptCount val="1"/>
                <c:pt idx="0">
                  <c:v>2200</c:v>
                </c:pt>
              </c:strCache>
            </c:strRef>
          </c:tx>
          <c:spPr>
            <a:ln w="25400" cap="rnd">
              <a:noFill/>
              <a:round/>
            </a:ln>
            <a:effectLst/>
          </c:spPr>
          <c:marker>
            <c:symbol val="circle"/>
            <c:size val="5"/>
            <c:spPr>
              <a:solidFill>
                <a:schemeClr val="accent1">
                  <a:lumMod val="60000"/>
                </a:schemeClr>
              </a:solidFill>
              <a:ln w="9525">
                <a:solidFill>
                  <a:schemeClr val="accent1">
                    <a:lumMod val="60000"/>
                  </a:schemeClr>
                </a:solidFill>
              </a:ln>
              <a:effectLst/>
            </c:spPr>
          </c:marker>
          <c:trendline>
            <c:spPr>
              <a:ln w="19050" cap="rnd">
                <a:solidFill>
                  <a:schemeClr val="accent1">
                    <a:lumMod val="60000"/>
                  </a:schemeClr>
                </a:solidFill>
                <a:prstDash val="sysDot"/>
              </a:ln>
              <a:effectLst/>
            </c:spPr>
            <c:trendlineType val="poly"/>
            <c:order val="5"/>
            <c:dispRSqr val="1"/>
            <c:dispEq val="1"/>
            <c:trendlineLbl>
              <c:layout>
                <c:manualLayout>
                  <c:x val="0.32851618143575007"/>
                  <c:y val="0.35284734206279922"/>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600" baseline="0"/>
                      <a:t>y = 2E-21x</a:t>
                    </a:r>
                    <a:r>
                      <a:rPr lang="en-US" sz="600" baseline="30000"/>
                      <a:t>5</a:t>
                    </a:r>
                    <a:r>
                      <a:rPr lang="en-US" sz="600" baseline="0"/>
                      <a:t> - 6E-17x</a:t>
                    </a:r>
                    <a:r>
                      <a:rPr lang="en-US" sz="600" baseline="30000"/>
                      <a:t>4</a:t>
                    </a:r>
                    <a:r>
                      <a:rPr lang="en-US" sz="600" baseline="0"/>
                      <a:t> + 2E-13x</a:t>
                    </a:r>
                    <a:r>
                      <a:rPr lang="en-US" sz="600" baseline="30000"/>
                      <a:t>3</a:t>
                    </a:r>
                    <a:r>
                      <a:rPr lang="en-US" sz="600" baseline="0"/>
                      <a:t> + 3E-08x</a:t>
                    </a:r>
                    <a:r>
                      <a:rPr lang="en-US" sz="600" baseline="30000"/>
                      <a:t>2</a:t>
                    </a:r>
                    <a:r>
                      <a:rPr lang="en-US" sz="600" baseline="0"/>
                      <a:t> + 0.0002x + 58.463</a:t>
                    </a:r>
                    <a:br>
                      <a:rPr lang="en-US" sz="600" baseline="0"/>
                    </a:br>
                    <a:r>
                      <a:rPr lang="en-US" sz="600" baseline="0"/>
                      <a:t>R² = 1</a:t>
                    </a:r>
                    <a:endParaRPr lang="en-US" sz="600"/>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PA_DA_HIGE_HOGE!$AL$4:$AL$14</c:f>
              <c:numCache>
                <c:formatCode>General</c:formatCode>
                <c:ptCount val="11"/>
                <c:pt idx="0">
                  <c:v>-4977.4170000000004</c:v>
                </c:pt>
                <c:pt idx="1">
                  <c:v>-2504.7737000000002</c:v>
                </c:pt>
                <c:pt idx="2">
                  <c:v>-31.212132</c:v>
                </c:pt>
                <c:pt idx="3">
                  <c:v>2511.0160000000001</c:v>
                </c:pt>
                <c:pt idx="4">
                  <c:v>4986.5969999999998</c:v>
                </c:pt>
                <c:pt idx="5">
                  <c:v>7496.6035000000002</c:v>
                </c:pt>
                <c:pt idx="6">
                  <c:v>9973.6530000000002</c:v>
                </c:pt>
                <c:pt idx="7">
                  <c:v>12485.312</c:v>
                </c:pt>
                <c:pt idx="8">
                  <c:v>14963.097</c:v>
                </c:pt>
                <c:pt idx="9">
                  <c:v>17475.490000000002</c:v>
                </c:pt>
                <c:pt idx="10">
                  <c:v>20056.365000000002</c:v>
                </c:pt>
              </c:numCache>
            </c:numRef>
          </c:xVal>
          <c:yVal>
            <c:numRef>
              <c:f>PA_DA_HIGE_HOGE!$AM$4:$AM$14</c:f>
              <c:numCache>
                <c:formatCode>General</c:formatCode>
                <c:ptCount val="11"/>
                <c:pt idx="0">
                  <c:v>58.315308000000002</c:v>
                </c:pt>
                <c:pt idx="1">
                  <c:v>58.220179999999999</c:v>
                </c:pt>
                <c:pt idx="2">
                  <c:v>58.465846999999997</c:v>
                </c:pt>
                <c:pt idx="3">
                  <c:v>59.051563000000002</c:v>
                </c:pt>
                <c:pt idx="4">
                  <c:v>60.046970000000002</c:v>
                </c:pt>
                <c:pt idx="5">
                  <c:v>61.246479999999998</c:v>
                </c:pt>
                <c:pt idx="6">
                  <c:v>62.787149999999997</c:v>
                </c:pt>
                <c:pt idx="7">
                  <c:v>64.600089999999994</c:v>
                </c:pt>
                <c:pt idx="8">
                  <c:v>66.413390000000007</c:v>
                </c:pt>
                <c:pt idx="9">
                  <c:v>68.498959999999997</c:v>
                </c:pt>
                <c:pt idx="10">
                  <c:v>70.85642</c:v>
                </c:pt>
              </c:numCache>
            </c:numRef>
          </c:yVal>
          <c:smooth val="0"/>
          <c:extLst>
            <c:ext xmlns:c16="http://schemas.microsoft.com/office/drawing/2014/chart" uri="{C3380CC4-5D6E-409C-BE32-E72D297353CC}">
              <c16:uniqueId val="{00000006-E5FE-4E53-AA67-9C5E8B533E36}"/>
            </c:ext>
          </c:extLst>
        </c:ser>
        <c:ser>
          <c:idx val="7"/>
          <c:order val="7"/>
          <c:tx>
            <c:strRef>
              <c:f>PA_DA_HIGE_HOGE!$AN$2</c:f>
              <c:strCache>
                <c:ptCount val="1"/>
                <c:pt idx="0">
                  <c:v>2000</c:v>
                </c:pt>
              </c:strCache>
            </c:strRef>
          </c:tx>
          <c:spPr>
            <a:ln w="25400" cap="rnd">
              <a:noFill/>
              <a:round/>
            </a:ln>
            <a:effectLst/>
          </c:spPr>
          <c:marker>
            <c:symbol val="circle"/>
            <c:size val="5"/>
            <c:spPr>
              <a:solidFill>
                <a:schemeClr val="accent2">
                  <a:lumMod val="60000"/>
                </a:schemeClr>
              </a:solidFill>
              <a:ln w="9525">
                <a:solidFill>
                  <a:schemeClr val="accent2">
                    <a:lumMod val="60000"/>
                  </a:schemeClr>
                </a:solidFill>
              </a:ln>
              <a:effectLst/>
            </c:spPr>
          </c:marker>
          <c:trendline>
            <c:spPr>
              <a:ln w="19050" cap="rnd">
                <a:solidFill>
                  <a:schemeClr val="accent2">
                    <a:lumMod val="60000"/>
                  </a:schemeClr>
                </a:solidFill>
                <a:prstDash val="sysDot"/>
              </a:ln>
              <a:effectLst/>
            </c:spPr>
            <c:trendlineType val="poly"/>
            <c:order val="5"/>
            <c:dispRSqr val="1"/>
            <c:dispEq val="1"/>
            <c:trendlineLbl>
              <c:layout>
                <c:manualLayout>
                  <c:x val="0.32534611724342771"/>
                  <c:y val="0.36004977274182193"/>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600" baseline="0"/>
                      <a:t>y = 4E-21x</a:t>
                    </a:r>
                    <a:r>
                      <a:rPr lang="en-US" sz="600" baseline="30000"/>
                      <a:t>5</a:t>
                    </a:r>
                    <a:r>
                      <a:rPr lang="en-US" sz="600" baseline="0"/>
                      <a:t> - 1E-16x</a:t>
                    </a:r>
                    <a:r>
                      <a:rPr lang="en-US" sz="600" baseline="30000"/>
                      <a:t>4</a:t>
                    </a:r>
                    <a:r>
                      <a:rPr lang="en-US" sz="600" baseline="0"/>
                      <a:t> + 1E-12x</a:t>
                    </a:r>
                    <a:r>
                      <a:rPr lang="en-US" sz="600" baseline="30000"/>
                      <a:t>3</a:t>
                    </a:r>
                    <a:r>
                      <a:rPr lang="en-US" sz="600" baseline="0"/>
                      <a:t> + 3E-08x</a:t>
                    </a:r>
                    <a:r>
                      <a:rPr lang="en-US" sz="600" baseline="30000"/>
                      <a:t>2</a:t>
                    </a:r>
                    <a:r>
                      <a:rPr lang="en-US" sz="600" baseline="0"/>
                      <a:t> + 3E-05x + 51.317</a:t>
                    </a:r>
                    <a:br>
                      <a:rPr lang="en-US" sz="600" baseline="0"/>
                    </a:br>
                    <a:r>
                      <a:rPr lang="en-US" sz="600" baseline="0"/>
                      <a:t>R² = 0.9999</a:t>
                    </a:r>
                    <a:endParaRPr lang="en-US" sz="600"/>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PA_DA_HIGE_HOGE!$AN$4:$AN$14</c:f>
              <c:numCache>
                <c:formatCode>General</c:formatCode>
                <c:ptCount val="11"/>
                <c:pt idx="0">
                  <c:v>-4961.1684999999998</c:v>
                </c:pt>
                <c:pt idx="1">
                  <c:v>-2489.2593000000002</c:v>
                </c:pt>
                <c:pt idx="2">
                  <c:v>-16.615870000000001</c:v>
                </c:pt>
                <c:pt idx="3">
                  <c:v>2491.1873000000001</c:v>
                </c:pt>
                <c:pt idx="4">
                  <c:v>4965.6665000000003</c:v>
                </c:pt>
                <c:pt idx="5">
                  <c:v>7475.6729999999998</c:v>
                </c:pt>
                <c:pt idx="6">
                  <c:v>9952.5390000000007</c:v>
                </c:pt>
                <c:pt idx="7">
                  <c:v>12497.888999999999</c:v>
                </c:pt>
                <c:pt idx="8">
                  <c:v>14975.306</c:v>
                </c:pt>
                <c:pt idx="9">
                  <c:v>17487.331999999999</c:v>
                </c:pt>
                <c:pt idx="10">
                  <c:v>20033.782999999999</c:v>
                </c:pt>
              </c:numCache>
            </c:numRef>
          </c:xVal>
          <c:yVal>
            <c:numRef>
              <c:f>PA_DA_HIGE_HOGE!$AO$4:$AO$14</c:f>
              <c:numCache>
                <c:formatCode>General</c:formatCode>
                <c:ptCount val="11"/>
                <c:pt idx="0">
                  <c:v>51.771743999999998</c:v>
                </c:pt>
                <c:pt idx="1">
                  <c:v>51.403987999999998</c:v>
                </c:pt>
                <c:pt idx="2">
                  <c:v>51.308860000000003</c:v>
                </c:pt>
                <c:pt idx="3">
                  <c:v>51.690469999999998</c:v>
                </c:pt>
                <c:pt idx="4">
                  <c:v>52.276927999999998</c:v>
                </c:pt>
                <c:pt idx="5">
                  <c:v>53.476439999999997</c:v>
                </c:pt>
                <c:pt idx="6">
                  <c:v>54.948956000000003</c:v>
                </c:pt>
                <c:pt idx="7">
                  <c:v>56.693362999999998</c:v>
                </c:pt>
                <c:pt idx="8">
                  <c:v>58.370350000000002</c:v>
                </c:pt>
                <c:pt idx="9">
                  <c:v>60.319603000000001</c:v>
                </c:pt>
                <c:pt idx="10">
                  <c:v>62.47296</c:v>
                </c:pt>
              </c:numCache>
            </c:numRef>
          </c:yVal>
          <c:smooth val="0"/>
          <c:extLst>
            <c:ext xmlns:c16="http://schemas.microsoft.com/office/drawing/2014/chart" uri="{C3380CC4-5D6E-409C-BE32-E72D297353CC}">
              <c16:uniqueId val="{00000007-E5FE-4E53-AA67-9C5E8B533E36}"/>
            </c:ext>
          </c:extLst>
        </c:ser>
        <c:dLbls>
          <c:showLegendKey val="0"/>
          <c:showVal val="0"/>
          <c:showCatName val="0"/>
          <c:showSerName val="0"/>
          <c:showPercent val="0"/>
          <c:showBubbleSize val="0"/>
        </c:dLbls>
        <c:axId val="628754336"/>
        <c:axId val="628756304"/>
      </c:scatterChart>
      <c:valAx>
        <c:axId val="62875433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DA (ft)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8756304"/>
        <c:crosses val="autoZero"/>
        <c:crossBetween val="midCat"/>
      </c:valAx>
      <c:valAx>
        <c:axId val="6287563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HOGE-Q</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8754336"/>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image" Target="../media/image10.png"/><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_rels/vmlDrawing2.v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9</xdr:col>
      <xdr:colOff>414130</xdr:colOff>
      <xdr:row>2</xdr:row>
      <xdr:rowOff>57979</xdr:rowOff>
    </xdr:from>
    <xdr:to>
      <xdr:col>22</xdr:col>
      <xdr:colOff>433653</xdr:colOff>
      <xdr:row>28</xdr:row>
      <xdr:rowOff>95250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134471</xdr:colOff>
      <xdr:row>2</xdr:row>
      <xdr:rowOff>56030</xdr:rowOff>
    </xdr:from>
    <xdr:to>
      <xdr:col>20</xdr:col>
      <xdr:colOff>201708</xdr:colOff>
      <xdr:row>3</xdr:row>
      <xdr:rowOff>56029</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6454589" y="56030"/>
          <a:ext cx="1277472" cy="22411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Center</a:t>
          </a:r>
          <a:r>
            <a:rPr lang="en-US" sz="1100" baseline="0"/>
            <a:t> of Gravity</a:t>
          </a:r>
          <a:endParaRPr lang="en-US" sz="1100"/>
        </a:p>
      </xdr:txBody>
    </xdr:sp>
    <xdr:clientData/>
  </xdr:twoCellAnchor>
  <xdr:twoCellAnchor>
    <xdr:from>
      <xdr:col>23</xdr:col>
      <xdr:colOff>95250</xdr:colOff>
      <xdr:row>2</xdr:row>
      <xdr:rowOff>200025</xdr:rowOff>
    </xdr:from>
    <xdr:to>
      <xdr:col>26</xdr:col>
      <xdr:colOff>266700</xdr:colOff>
      <xdr:row>59</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620250" y="531329"/>
          <a:ext cx="2010189" cy="64591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Changes:</a:t>
          </a:r>
        </a:p>
      </xdr:txBody>
    </xdr:sp>
    <xdr:clientData/>
  </xdr:twoCellAnchor>
  <xdr:twoCellAnchor>
    <xdr:from>
      <xdr:col>10</xdr:col>
      <xdr:colOff>0</xdr:colOff>
      <xdr:row>36</xdr:row>
      <xdr:rowOff>0</xdr:rowOff>
    </xdr:from>
    <xdr:to>
      <xdr:col>19</xdr:col>
      <xdr:colOff>432527</xdr:colOff>
      <xdr:row>60</xdr:row>
      <xdr:rowOff>9532</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5044109" y="4489174"/>
          <a:ext cx="2461766" cy="2651684"/>
          <a:chOff x="4933950" y="4200525"/>
          <a:chExt cx="2451827" cy="2676532"/>
        </a:xfrm>
      </xdr:grpSpPr>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471807" y="6657468"/>
            <a:ext cx="1275024" cy="21958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Cut Guns Headings</a:t>
            </a:r>
          </a:p>
        </xdr:txBody>
      </xdr:sp>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4933950" y="4200525"/>
          <a:ext cx="2451827" cy="245744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9</xdr:col>
      <xdr:colOff>152400</xdr:colOff>
      <xdr:row>66</xdr:row>
      <xdr:rowOff>76200</xdr:rowOff>
    </xdr:from>
    <xdr:to>
      <xdr:col>23</xdr:col>
      <xdr:colOff>744</xdr:colOff>
      <xdr:row>114</xdr:row>
      <xdr:rowOff>123409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8180" t="3852" r="7754" b="3074"/>
        <a:stretch/>
      </xdr:blipFill>
      <xdr:spPr>
        <a:xfrm>
          <a:off x="4695825" y="7934325"/>
          <a:ext cx="4791819" cy="6876634"/>
        </a:xfrm>
        <a:prstGeom prst="rect">
          <a:avLst/>
        </a:prstGeom>
      </xdr:spPr>
    </xdr:pic>
    <xdr:clientData/>
  </xdr:twoCellAnchor>
  <xdr:twoCellAnchor>
    <xdr:from>
      <xdr:col>18</xdr:col>
      <xdr:colOff>533400</xdr:colOff>
      <xdr:row>21</xdr:row>
      <xdr:rowOff>76201</xdr:rowOff>
    </xdr:from>
    <xdr:to>
      <xdr:col>19</xdr:col>
      <xdr:colOff>552450</xdr:colOff>
      <xdr:row>23</xdr:row>
      <xdr:rowOff>47625</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6877050" y="2466976"/>
          <a:ext cx="628650" cy="26669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FCS</a:t>
          </a:r>
          <a:r>
            <a:rPr lang="en-US" sz="1100" baseline="0"/>
            <a:t> On</a:t>
          </a:r>
          <a:endParaRPr lang="en-US" sz="1100"/>
        </a:p>
      </xdr:txBody>
    </xdr:sp>
    <xdr:clientData/>
  </xdr:twoCellAnchor>
  <xdr:twoCellAnchor>
    <xdr:from>
      <xdr:col>20</xdr:col>
      <xdr:colOff>504825</xdr:colOff>
      <xdr:row>21</xdr:row>
      <xdr:rowOff>85726</xdr:rowOff>
    </xdr:from>
    <xdr:to>
      <xdr:col>21</xdr:col>
      <xdr:colOff>523875</xdr:colOff>
      <xdr:row>23</xdr:row>
      <xdr:rowOff>57150</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8067675" y="2476501"/>
          <a:ext cx="628650" cy="266699"/>
        </a:xfrm>
        <a:prstGeom prst="rect">
          <a:avLst/>
        </a:prstGeom>
        <a:no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FCS</a:t>
          </a:r>
          <a:r>
            <a:rPr lang="en-US" sz="1100" baseline="0"/>
            <a:t> Off</a:t>
          </a:r>
          <a:endParaRPr lang="en-US" sz="1100"/>
        </a:p>
      </xdr:txBody>
    </xdr:sp>
    <xdr:clientData/>
  </xdr:twoCellAnchor>
  <xdr:twoCellAnchor editAs="oneCell">
    <xdr:from>
      <xdr:col>0</xdr:col>
      <xdr:colOff>46057</xdr:colOff>
      <xdr:row>66</xdr:row>
      <xdr:rowOff>72119</xdr:rowOff>
    </xdr:from>
    <xdr:to>
      <xdr:col>0</xdr:col>
      <xdr:colOff>761200</xdr:colOff>
      <xdr:row>71</xdr:row>
      <xdr:rowOff>15726</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0794" t="10968" r="73796" b="76164"/>
        <a:stretch/>
      </xdr:blipFill>
      <xdr:spPr>
        <a:xfrm>
          <a:off x="46057" y="7930244"/>
          <a:ext cx="715143" cy="753232"/>
        </a:xfrm>
        <a:prstGeom prst="rect">
          <a:avLst/>
        </a:prstGeom>
      </xdr:spPr>
    </xdr:pic>
    <xdr:clientData/>
  </xdr:twoCellAnchor>
  <xdr:twoCellAnchor editAs="oneCell">
    <xdr:from>
      <xdr:col>8</xdr:col>
      <xdr:colOff>252189</xdr:colOff>
      <xdr:row>66</xdr:row>
      <xdr:rowOff>55789</xdr:rowOff>
    </xdr:from>
    <xdr:to>
      <xdr:col>8</xdr:col>
      <xdr:colOff>952826</xdr:colOff>
      <xdr:row>70</xdr:row>
      <xdr:rowOff>95250</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1468" t="11941" r="14498" b="77138"/>
        <a:stretch/>
      </xdr:blipFill>
      <xdr:spPr>
        <a:xfrm>
          <a:off x="3805014" y="7913914"/>
          <a:ext cx="700637" cy="687161"/>
        </a:xfrm>
        <a:prstGeom prst="rect">
          <a:avLst/>
        </a:prstGeom>
      </xdr:spPr>
    </xdr:pic>
    <xdr:clientData/>
  </xdr:twoCellAnchor>
  <xdr:twoCellAnchor>
    <xdr:from>
      <xdr:col>6</xdr:col>
      <xdr:colOff>1699</xdr:colOff>
      <xdr:row>73</xdr:row>
      <xdr:rowOff>3402</xdr:rowOff>
    </xdr:from>
    <xdr:to>
      <xdr:col>6</xdr:col>
      <xdr:colOff>438813</xdr:colOff>
      <xdr:row>74</xdr:row>
      <xdr:rowOff>851</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2930637" y="9443357"/>
          <a:ext cx="437114" cy="235574"/>
        </a:xfrm>
        <a:prstGeom prst="rect">
          <a:avLst/>
        </a:prstGeom>
        <a:solidFill>
          <a:srgbClr val="07DB3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lang="en-US" sz="1050"/>
            <a:t>LOW</a:t>
          </a:r>
        </a:p>
      </xdr:txBody>
    </xdr:sp>
    <xdr:clientData/>
  </xdr:twoCellAnchor>
  <xdr:twoCellAnchor>
    <xdr:from>
      <xdr:col>6</xdr:col>
      <xdr:colOff>438149</xdr:colOff>
      <xdr:row>73</xdr:row>
      <xdr:rowOff>3402</xdr:rowOff>
    </xdr:from>
    <xdr:to>
      <xdr:col>8</xdr:col>
      <xdr:colOff>520473</xdr:colOff>
      <xdr:row>73</xdr:row>
      <xdr:rowOff>236594</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367087" y="9443357"/>
          <a:ext cx="701449" cy="233192"/>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lang="en-US" sz="1050"/>
            <a:t>MEDIUM</a:t>
          </a:r>
        </a:p>
      </xdr:txBody>
    </xdr:sp>
    <xdr:clientData/>
  </xdr:twoCellAnchor>
  <xdr:twoCellAnchor>
    <xdr:from>
      <xdr:col>8</xdr:col>
      <xdr:colOff>510267</xdr:colOff>
      <xdr:row>73</xdr:row>
      <xdr:rowOff>3402</xdr:rowOff>
    </xdr:from>
    <xdr:to>
      <xdr:col>8</xdr:col>
      <xdr:colOff>986516</xdr:colOff>
      <xdr:row>73</xdr:row>
      <xdr:rowOff>236764</xdr:rowOff>
    </xdr:to>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4058330" y="9443357"/>
          <a:ext cx="476249" cy="233362"/>
        </a:xfrm>
        <a:prstGeom prst="rect">
          <a:avLst/>
        </a:prstGeom>
        <a:solidFill>
          <a:srgbClr val="FF0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lang="en-US" sz="1050"/>
            <a:t>HIGH</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289559</xdr:colOff>
      <xdr:row>20</xdr:row>
      <xdr:rowOff>76200</xdr:rowOff>
    </xdr:from>
    <xdr:to>
      <xdr:col>14</xdr:col>
      <xdr:colOff>394446</xdr:colOff>
      <xdr:row>39</xdr:row>
      <xdr:rowOff>144780</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485775</xdr:colOff>
          <xdr:row>8</xdr:row>
          <xdr:rowOff>190500</xdr:rowOff>
        </xdr:from>
        <xdr:to>
          <xdr:col>13</xdr:col>
          <xdr:colOff>180975</xdr:colOff>
          <xdr:row>12</xdr:row>
          <xdr:rowOff>76200</xdr:rowOff>
        </xdr:to>
        <xdr:sp macro="" textlink="">
          <xdr:nvSpPr>
            <xdr:cNvPr id="6146" name="Object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13</xdr:row>
          <xdr:rowOff>85725</xdr:rowOff>
        </xdr:from>
        <xdr:to>
          <xdr:col>13</xdr:col>
          <xdr:colOff>200025</xdr:colOff>
          <xdr:row>16</xdr:row>
          <xdr:rowOff>171450</xdr:rowOff>
        </xdr:to>
        <xdr:sp macro="" textlink="">
          <xdr:nvSpPr>
            <xdr:cNvPr id="6147" name="Object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485775</xdr:colOff>
          <xdr:row>18</xdr:row>
          <xdr:rowOff>0</xdr:rowOff>
        </xdr:from>
        <xdr:to>
          <xdr:col>13</xdr:col>
          <xdr:colOff>123825</xdr:colOff>
          <xdr:row>21</xdr:row>
          <xdr:rowOff>123825</xdr:rowOff>
        </xdr:to>
        <xdr:sp macro="" textlink="">
          <xdr:nvSpPr>
            <xdr:cNvPr id="6148" name="Object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504825</xdr:colOff>
          <xdr:row>13</xdr:row>
          <xdr:rowOff>123825</xdr:rowOff>
        </xdr:from>
        <xdr:to>
          <xdr:col>25</xdr:col>
          <xdr:colOff>238125</xdr:colOff>
          <xdr:row>16</xdr:row>
          <xdr:rowOff>123825</xdr:rowOff>
        </xdr:to>
        <xdr:sp macro="" textlink="">
          <xdr:nvSpPr>
            <xdr:cNvPr id="6149" name="Object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32</xdr:col>
      <xdr:colOff>507471</xdr:colOff>
      <xdr:row>31</xdr:row>
      <xdr:rowOff>88847</xdr:rowOff>
    </xdr:from>
    <xdr:to>
      <xdr:col>37</xdr:col>
      <xdr:colOff>178170</xdr:colOff>
      <xdr:row>47</xdr:row>
      <xdr:rowOff>124073</xdr:rowOff>
    </xdr:to>
    <xdr:grpSp>
      <xdr:nvGrpSpPr>
        <xdr:cNvPr id="3" name="Group 2">
          <a:extLst>
            <a:ext uri="{FF2B5EF4-FFF2-40B4-BE49-F238E27FC236}">
              <a16:creationId xmlns:a16="http://schemas.microsoft.com/office/drawing/2014/main" id="{00000000-0008-0000-0500-000003000000}"/>
            </a:ext>
          </a:extLst>
        </xdr:cNvPr>
        <xdr:cNvGrpSpPr/>
      </xdr:nvGrpSpPr>
      <xdr:grpSpPr>
        <a:xfrm>
          <a:off x="21440059" y="6913229"/>
          <a:ext cx="2696287" cy="3262520"/>
          <a:chOff x="18971562" y="7519147"/>
          <a:chExt cx="2344902" cy="3262521"/>
        </a:xfrm>
      </xdr:grpSpPr>
      <xdr:graphicFrame macro="">
        <xdr:nvGraphicFramePr>
          <xdr:cNvPr id="7" name="Chart 6">
            <a:extLst>
              <a:ext uri="{FF2B5EF4-FFF2-40B4-BE49-F238E27FC236}">
                <a16:creationId xmlns:a16="http://schemas.microsoft.com/office/drawing/2014/main" id="{00000000-0008-0000-0500-000007000000}"/>
              </a:ext>
            </a:extLst>
          </xdr:cNvPr>
          <xdr:cNvGraphicFramePr>
            <a:graphicFrameLocks/>
          </xdr:cNvGraphicFramePr>
        </xdr:nvGraphicFramePr>
        <xdr:xfrm>
          <a:off x="18971562" y="7519147"/>
          <a:ext cx="2344902" cy="30480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19543058" y="10563154"/>
            <a:ext cx="1286436" cy="21851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Cut Guns Headings</a:t>
            </a:r>
          </a:p>
        </xdr:txBody>
      </xdr:sp>
    </xdr:grpSp>
    <xdr:clientData/>
  </xdr:twoCellAnchor>
  <xdr:twoCellAnchor>
    <xdr:from>
      <xdr:col>32</xdr:col>
      <xdr:colOff>280147</xdr:colOff>
      <xdr:row>17</xdr:row>
      <xdr:rowOff>0</xdr:rowOff>
    </xdr:from>
    <xdr:to>
      <xdr:col>35</xdr:col>
      <xdr:colOff>567743</xdr:colOff>
      <xdr:row>30</xdr:row>
      <xdr:rowOff>8654</xdr:rowOff>
    </xdr:to>
    <xdr:grpSp>
      <xdr:nvGrpSpPr>
        <xdr:cNvPr id="11" name="Group 10">
          <a:extLst>
            <a:ext uri="{FF2B5EF4-FFF2-40B4-BE49-F238E27FC236}">
              <a16:creationId xmlns:a16="http://schemas.microsoft.com/office/drawing/2014/main" id="{00000000-0008-0000-0500-00000B000000}"/>
            </a:ext>
          </a:extLst>
        </xdr:cNvPr>
        <xdr:cNvGrpSpPr/>
      </xdr:nvGrpSpPr>
      <xdr:grpSpPr>
        <a:xfrm>
          <a:off x="21212735" y="4000500"/>
          <a:ext cx="2102949" cy="2630830"/>
          <a:chOff x="7281287" y="3938058"/>
          <a:chExt cx="2102949" cy="2630831"/>
        </a:xfrm>
      </xdr:grpSpPr>
      <xdr:graphicFrame macro="">
        <xdr:nvGraphicFramePr>
          <xdr:cNvPr id="12" name="Chart 11">
            <a:extLst>
              <a:ext uri="{FF2B5EF4-FFF2-40B4-BE49-F238E27FC236}">
                <a16:creationId xmlns:a16="http://schemas.microsoft.com/office/drawing/2014/main" id="{00000000-0008-0000-0500-00000C000000}"/>
              </a:ext>
            </a:extLst>
          </xdr:cNvPr>
          <xdr:cNvGraphicFramePr>
            <a:graphicFrameLocks/>
          </xdr:cNvGraphicFramePr>
        </xdr:nvGraphicFramePr>
        <xdr:xfrm>
          <a:off x="7281287" y="3938058"/>
          <a:ext cx="2102949" cy="241475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7704042" y="6350375"/>
            <a:ext cx="1286437" cy="21851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Autorotative</a:t>
            </a:r>
            <a:r>
              <a:rPr lang="en-US" sz="1100" baseline="0"/>
              <a:t> Nr</a:t>
            </a:r>
            <a:endParaRPr lang="en-US" sz="1100"/>
          </a:p>
        </xdr:txBody>
      </xdr:sp>
    </xdr:grpSp>
    <xdr:clientData/>
  </xdr:twoCellAnchor>
  <xdr:twoCellAnchor>
    <xdr:from>
      <xdr:col>7</xdr:col>
      <xdr:colOff>112058</xdr:colOff>
      <xdr:row>94</xdr:row>
      <xdr:rowOff>57150</xdr:rowOff>
    </xdr:from>
    <xdr:to>
      <xdr:col>10</xdr:col>
      <xdr:colOff>78442</xdr:colOff>
      <xdr:row>104</xdr:row>
      <xdr:rowOff>114299</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336175</xdr:colOff>
      <xdr:row>94</xdr:row>
      <xdr:rowOff>66675</xdr:rowOff>
    </xdr:from>
    <xdr:to>
      <xdr:col>14</xdr:col>
      <xdr:colOff>67235</xdr:colOff>
      <xdr:row>104</xdr:row>
      <xdr:rowOff>152400</xdr:rowOff>
    </xdr:to>
    <xdr:graphicFrame macro="">
      <xdr:nvGraphicFramePr>
        <xdr:cNvPr id="14" name="Chart 13">
          <a:extLst>
            <a:ext uri="{FF2B5EF4-FFF2-40B4-BE49-F238E27FC236}">
              <a16:creationId xmlns:a16="http://schemas.microsoft.com/office/drawing/2014/main" id="{00000000-0008-0000-05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466725</xdr:colOff>
          <xdr:row>22</xdr:row>
          <xdr:rowOff>123825</xdr:rowOff>
        </xdr:from>
        <xdr:to>
          <xdr:col>13</xdr:col>
          <xdr:colOff>171450</xdr:colOff>
          <xdr:row>26</xdr:row>
          <xdr:rowOff>104775</xdr:rowOff>
        </xdr:to>
        <xdr:sp macro="" textlink="">
          <xdr:nvSpPr>
            <xdr:cNvPr id="6151" name="Object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438150</xdr:colOff>
          <xdr:row>28</xdr:row>
          <xdr:rowOff>57150</xdr:rowOff>
        </xdr:from>
        <xdr:to>
          <xdr:col>13</xdr:col>
          <xdr:colOff>133350</xdr:colOff>
          <xdr:row>31</xdr:row>
          <xdr:rowOff>142875</xdr:rowOff>
        </xdr:to>
        <xdr:sp macro="" textlink="">
          <xdr:nvSpPr>
            <xdr:cNvPr id="6153" name="Object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438150</xdr:colOff>
          <xdr:row>32</xdr:row>
          <xdr:rowOff>190500</xdr:rowOff>
        </xdr:from>
        <xdr:to>
          <xdr:col>13</xdr:col>
          <xdr:colOff>133350</xdr:colOff>
          <xdr:row>36</xdr:row>
          <xdr:rowOff>152400</xdr:rowOff>
        </xdr:to>
        <xdr:sp macro="" textlink="">
          <xdr:nvSpPr>
            <xdr:cNvPr id="6154" name="Object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0</xdr:rowOff>
        </xdr:from>
        <xdr:to>
          <xdr:col>13</xdr:col>
          <xdr:colOff>304800</xdr:colOff>
          <xdr:row>41</xdr:row>
          <xdr:rowOff>171450</xdr:rowOff>
        </xdr:to>
        <xdr:sp macro="" textlink="">
          <xdr:nvSpPr>
            <xdr:cNvPr id="6155" name="Object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37</xdr:col>
      <xdr:colOff>0</xdr:colOff>
      <xdr:row>33</xdr:row>
      <xdr:rowOff>0</xdr:rowOff>
    </xdr:from>
    <xdr:to>
      <xdr:col>44</xdr:col>
      <xdr:colOff>228826</xdr:colOff>
      <xdr:row>67</xdr:row>
      <xdr:rowOff>152363</xdr:rowOff>
    </xdr:to>
    <xdr:pic>
      <xdr:nvPicPr>
        <xdr:cNvPr id="18" name="Picture 17">
          <a:extLst>
            <a:ext uri="{FF2B5EF4-FFF2-40B4-BE49-F238E27FC236}">
              <a16:creationId xmlns:a16="http://schemas.microsoft.com/office/drawing/2014/main" id="{00000000-0008-0000-0500-000012000000}"/>
            </a:ext>
          </a:extLst>
        </xdr:cNvPr>
        <xdr:cNvPicPr>
          <a:picLocks noChangeAspect="1"/>
        </xdr:cNvPicPr>
      </xdr:nvPicPr>
      <xdr:blipFill rotWithShape="1">
        <a:blip xmlns:r="http://schemas.openxmlformats.org/officeDocument/2006/relationships" r:embed="rId5"/>
        <a:srcRect l="420" t="563" r="51710" b="1501"/>
        <a:stretch/>
      </xdr:blipFill>
      <xdr:spPr>
        <a:xfrm>
          <a:off x="23951045" y="6909955"/>
          <a:ext cx="4471781" cy="72181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209550</xdr:colOff>
      <xdr:row>2</xdr:row>
      <xdr:rowOff>142875</xdr:rowOff>
    </xdr:from>
    <xdr:to>
      <xdr:col>8</xdr:col>
      <xdr:colOff>438150</xdr:colOff>
      <xdr:row>29</xdr:row>
      <xdr:rowOff>42333</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819150" y="466725"/>
          <a:ext cx="4495800" cy="4271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Thanks</a:t>
          </a:r>
          <a:r>
            <a:rPr lang="en-US" sz="1100" baseline="0"/>
            <a:t> for using this! I am always open to any inputs and recommendations you have for this. Contact me at 559-246-0374 and we can conspire about making the future better.</a:t>
          </a:r>
        </a:p>
        <a:p>
          <a:endParaRPr lang="en-US" sz="1100" baseline="0"/>
        </a:p>
        <a:p>
          <a:r>
            <a:rPr lang="en-US" sz="1100" b="1" baseline="0"/>
            <a:t>Copy and Paste</a:t>
          </a:r>
        </a:p>
        <a:p>
          <a:endParaRPr lang="en-US" sz="1100" baseline="0"/>
        </a:p>
        <a:p>
          <a:r>
            <a:rPr lang="en-US" sz="1100" baseline="0"/>
            <a:t>The process for updating the numbers is a simple copy and paste from UNDER THE HEADER of the AWBS output from maintenance (See </a:t>
          </a:r>
          <a:r>
            <a:rPr lang="en-US" sz="1100" b="1" baseline="0"/>
            <a:t>Figure 1</a:t>
          </a:r>
          <a:r>
            <a:rPr lang="en-US" sz="1100" baseline="0"/>
            <a:t>).</a:t>
          </a:r>
        </a:p>
        <a:p>
          <a:endParaRPr lang="en-US" sz="1100" baseline="0"/>
        </a:p>
        <a:p>
          <a:r>
            <a:rPr lang="en-US" sz="1100" baseline="0"/>
            <a:t>Avoid the header row (the one that starts with 'MDS', see </a:t>
          </a:r>
          <a:r>
            <a:rPr lang="en-US" sz="1100" b="1" baseline="0"/>
            <a:t>Figure 1</a:t>
          </a:r>
          <a:r>
            <a:rPr lang="en-US" sz="1100" baseline="0"/>
            <a:t>), then select and copy all columns and the remaining rows.</a:t>
          </a:r>
        </a:p>
        <a:p>
          <a:endParaRPr lang="en-US" sz="1100" baseline="0"/>
        </a:p>
        <a:p>
          <a:r>
            <a:rPr lang="en-US" sz="1100" baseline="0"/>
            <a:t>Paste into the top left cell (below the row with the same header as the AWBS sheet) on the 'Data' tab (see </a:t>
          </a:r>
          <a:r>
            <a:rPr lang="en-US" sz="1100" b="1" baseline="0"/>
            <a:t>Figure 2</a:t>
          </a:r>
          <a:r>
            <a:rPr lang="en-US" sz="1100" b="0" baseline="0"/>
            <a:t>, currently it is cell P4).</a:t>
          </a:r>
        </a:p>
        <a:p>
          <a:endParaRPr lang="en-US" sz="1100" b="0" baseline="0"/>
        </a:p>
        <a:p>
          <a:r>
            <a:rPr lang="en-US" sz="1100" b="0" baseline="0"/>
            <a:t>Save the document with an updated version number (e.g 2.02 instead of 2.01).</a:t>
          </a:r>
        </a:p>
        <a:p>
          <a:endParaRPr lang="en-US" sz="1100" baseline="0"/>
        </a:p>
        <a:p>
          <a:r>
            <a:rPr lang="en-US" sz="1100" b="1" baseline="0">
              <a:solidFill>
                <a:srgbClr val="FF0000"/>
              </a:solidFill>
            </a:rPr>
            <a:t>DO NOT ATTEMPT TO MODIFY ANY OTHER CELLS. There are formulas in some of them that control the output of </a:t>
          </a:r>
          <a:r>
            <a:rPr lang="en-US" sz="1100" b="1" baseline="0">
              <a:solidFill>
                <a:srgbClr val="FF0000"/>
              </a:solidFill>
              <a:effectLst/>
              <a:latin typeface="+mn-lt"/>
              <a:ea typeface="+mn-ea"/>
              <a:cs typeface="+mn-cs"/>
            </a:rPr>
            <a:t> numbers</a:t>
          </a:r>
          <a:r>
            <a:rPr lang="en-US" sz="1100" b="1" baseline="0">
              <a:solidFill>
                <a:srgbClr val="FF0000"/>
              </a:solidFill>
            </a:rPr>
            <a:t> to the printable product.</a:t>
          </a:r>
        </a:p>
        <a:p>
          <a:endParaRPr lang="en-US" sz="1100" b="1" baseline="0">
            <a:solidFill>
              <a:sysClr val="windowText" lastClr="000000"/>
            </a:solidFill>
          </a:endParaRPr>
        </a:p>
        <a:p>
          <a:pPr algn="r"/>
          <a:r>
            <a:rPr lang="en-US" sz="1100" b="0" baseline="0">
              <a:solidFill>
                <a:sysClr val="windowText" lastClr="000000"/>
              </a:solidFill>
            </a:rPr>
            <a:t>Cheers, good luck and fly safe.</a:t>
          </a:r>
        </a:p>
        <a:p>
          <a:pPr algn="r"/>
          <a:r>
            <a:rPr lang="en-US" sz="1100" b="0" baseline="0">
              <a:solidFill>
                <a:sysClr val="windowText" lastClr="000000"/>
              </a:solidFill>
            </a:rPr>
            <a:t>-Steve</a:t>
          </a:r>
        </a:p>
      </xdr:txBody>
    </xdr:sp>
    <xdr:clientData/>
  </xdr:twoCellAnchor>
  <xdr:twoCellAnchor>
    <xdr:from>
      <xdr:col>9</xdr:col>
      <xdr:colOff>195942</xdr:colOff>
      <xdr:row>2</xdr:row>
      <xdr:rowOff>106254</xdr:rowOff>
    </xdr:from>
    <xdr:to>
      <xdr:col>18</xdr:col>
      <xdr:colOff>331639</xdr:colOff>
      <xdr:row>20</xdr:row>
      <xdr:rowOff>31297</xdr:rowOff>
    </xdr:to>
    <xdr:grpSp>
      <xdr:nvGrpSpPr>
        <xdr:cNvPr id="3" name="Group 2">
          <a:extLst>
            <a:ext uri="{FF2B5EF4-FFF2-40B4-BE49-F238E27FC236}">
              <a16:creationId xmlns:a16="http://schemas.microsoft.com/office/drawing/2014/main" id="{00000000-0008-0000-0600-000003000000}"/>
            </a:ext>
          </a:extLst>
        </xdr:cNvPr>
        <xdr:cNvGrpSpPr/>
      </xdr:nvGrpSpPr>
      <xdr:grpSpPr>
        <a:xfrm>
          <a:off x="5720442" y="423754"/>
          <a:ext cx="5660197" cy="2782543"/>
          <a:chOff x="7366906" y="419218"/>
          <a:chExt cx="5646590" cy="2864186"/>
        </a:xfrm>
      </xdr:grpSpPr>
      <xdr:grpSp>
        <xdr:nvGrpSpPr>
          <xdr:cNvPr id="4" name="Group 3">
            <a:extLst>
              <a:ext uri="{FF2B5EF4-FFF2-40B4-BE49-F238E27FC236}">
                <a16:creationId xmlns:a16="http://schemas.microsoft.com/office/drawing/2014/main" id="{00000000-0008-0000-0600-000004000000}"/>
              </a:ext>
            </a:extLst>
          </xdr:cNvPr>
          <xdr:cNvGrpSpPr/>
        </xdr:nvGrpSpPr>
        <xdr:grpSpPr>
          <a:xfrm>
            <a:off x="7366906" y="419218"/>
            <a:ext cx="5646590" cy="2864186"/>
            <a:chOff x="7334250" y="416497"/>
            <a:chExt cx="5622503" cy="2840278"/>
          </a:xfrm>
          <a:noFill/>
        </xdr:grpSpPr>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7334250" y="416497"/>
              <a:ext cx="5622503" cy="2498891"/>
            </a:xfrm>
            <a:prstGeom prst="rect">
              <a:avLst/>
            </a:prstGeom>
            <a:grpFill/>
            <a:ln w="22225">
              <a:solidFill>
                <a:schemeClr val="tx1"/>
              </a:solidFill>
            </a:ln>
          </xdr:spPr>
        </xdr:pic>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9517546" y="2923400"/>
              <a:ext cx="1219200" cy="333375"/>
            </a:xfrm>
            <a:prstGeom prst="rect">
              <a:avLst/>
            </a:prstGeom>
            <a:grp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t>Figure - 1</a:t>
              </a:r>
            </a:p>
          </xdr:txBody>
        </xdr:sp>
      </xdr:grpSp>
      <xdr:sp macro="" textlink="">
        <xdr:nvSpPr>
          <xdr:cNvPr id="5" name="Right Arrow 4">
            <a:extLst>
              <a:ext uri="{FF2B5EF4-FFF2-40B4-BE49-F238E27FC236}">
                <a16:creationId xmlns:a16="http://schemas.microsoft.com/office/drawing/2014/main" id="{00000000-0008-0000-0600-000005000000}"/>
              </a:ext>
            </a:extLst>
          </xdr:cNvPr>
          <xdr:cNvSpPr/>
        </xdr:nvSpPr>
        <xdr:spPr>
          <a:xfrm>
            <a:off x="7388678" y="816428"/>
            <a:ext cx="353786"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9</xdr:col>
      <xdr:colOff>243412</xdr:colOff>
      <xdr:row>21</xdr:row>
      <xdr:rowOff>13606</xdr:rowOff>
    </xdr:from>
    <xdr:to>
      <xdr:col>18</xdr:col>
      <xdr:colOff>325055</xdr:colOff>
      <xdr:row>41</xdr:row>
      <xdr:rowOff>129051</xdr:rowOff>
    </xdr:to>
    <xdr:grpSp>
      <xdr:nvGrpSpPr>
        <xdr:cNvPr id="8" name="Group 7">
          <a:extLst>
            <a:ext uri="{FF2B5EF4-FFF2-40B4-BE49-F238E27FC236}">
              <a16:creationId xmlns:a16="http://schemas.microsoft.com/office/drawing/2014/main" id="{00000000-0008-0000-0600-000008000000}"/>
            </a:ext>
          </a:extLst>
        </xdr:cNvPr>
        <xdr:cNvGrpSpPr/>
      </xdr:nvGrpSpPr>
      <xdr:grpSpPr>
        <a:xfrm>
          <a:off x="5767912" y="3347356"/>
          <a:ext cx="5606143" cy="3290445"/>
          <a:chOff x="17907001" y="1782535"/>
          <a:chExt cx="5592536" cy="3381452"/>
        </a:xfrm>
      </xdr:grpSpPr>
      <xdr:pic>
        <xdr:nvPicPr>
          <xdr:cNvPr id="9" name="Picture 8">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2"/>
          <a:stretch>
            <a:fillRect/>
          </a:stretch>
        </xdr:blipFill>
        <xdr:spPr>
          <a:xfrm>
            <a:off x="17907001" y="1782535"/>
            <a:ext cx="5592536" cy="3027210"/>
          </a:xfrm>
          <a:prstGeom prst="rect">
            <a:avLst/>
          </a:prstGeom>
          <a:ln w="25400">
            <a:solidFill>
              <a:schemeClr val="tx1"/>
            </a:solidFill>
          </a:ln>
        </xdr:spPr>
      </xdr:pic>
      <xdr:sp macro="" textlink="">
        <xdr:nvSpPr>
          <xdr:cNvPr id="10" name="Right Arrow 9">
            <a:extLst>
              <a:ext uri="{FF2B5EF4-FFF2-40B4-BE49-F238E27FC236}">
                <a16:creationId xmlns:a16="http://schemas.microsoft.com/office/drawing/2014/main" id="{00000000-0008-0000-0600-00000A000000}"/>
              </a:ext>
            </a:extLst>
          </xdr:cNvPr>
          <xdr:cNvSpPr/>
        </xdr:nvSpPr>
        <xdr:spPr>
          <a:xfrm rot="1914044">
            <a:off x="20018830" y="2179862"/>
            <a:ext cx="353786"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TextBox 10">
            <a:extLst>
              <a:ext uri="{FF2B5EF4-FFF2-40B4-BE49-F238E27FC236}">
                <a16:creationId xmlns:a16="http://schemas.microsoft.com/office/drawing/2014/main" id="{00000000-0008-0000-0600-00000B000000}"/>
              </a:ext>
            </a:extLst>
          </xdr:cNvPr>
          <xdr:cNvSpPr txBox="1"/>
        </xdr:nvSpPr>
        <xdr:spPr>
          <a:xfrm>
            <a:off x="20059980" y="4827806"/>
            <a:ext cx="1224423" cy="336181"/>
          </a:xfrm>
          <a:prstGeom prst="rect">
            <a:avLst/>
          </a:prstGeom>
          <a:no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t>Figure - 2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548640</xdr:colOff>
      <xdr:row>18</xdr:row>
      <xdr:rowOff>38100</xdr:rowOff>
    </xdr:from>
    <xdr:to>
      <xdr:col>20</xdr:col>
      <xdr:colOff>394447</xdr:colOff>
      <xdr:row>34</xdr:row>
      <xdr:rowOff>99060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137801</xdr:colOff>
      <xdr:row>22</xdr:row>
      <xdr:rowOff>64994</xdr:rowOff>
    </xdr:from>
    <xdr:to>
      <xdr:col>37</xdr:col>
      <xdr:colOff>28400</xdr:colOff>
      <xdr:row>47</xdr:row>
      <xdr:rowOff>89648</xdr:rowOff>
    </xdr:to>
    <xdr:graphicFrame macro="">
      <xdr:nvGraphicFramePr>
        <xdr:cNvPr id="6" name="Chart 5">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51</xdr:col>
      <xdr:colOff>17319</xdr:colOff>
      <xdr:row>0</xdr:row>
      <xdr:rowOff>0</xdr:rowOff>
    </xdr:from>
    <xdr:to>
      <xdr:col>62</xdr:col>
      <xdr:colOff>585107</xdr:colOff>
      <xdr:row>14</xdr:row>
      <xdr:rowOff>17318</xdr:rowOff>
    </xdr:to>
    <xdr:graphicFrame macro="">
      <xdr:nvGraphicFramePr>
        <xdr:cNvPr id="8" name="Chart 7">
          <a:extLst>
            <a:ext uri="{FF2B5EF4-FFF2-40B4-BE49-F238E27FC236}">
              <a16:creationId xmlns:a16="http://schemas.microsoft.com/office/drawing/2014/main" id="{00000000-0008-0000-07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49</xdr:col>
      <xdr:colOff>111015</xdr:colOff>
      <xdr:row>19</xdr:row>
      <xdr:rowOff>78841</xdr:rowOff>
    </xdr:from>
    <xdr:to>
      <xdr:col>58</xdr:col>
      <xdr:colOff>136071</xdr:colOff>
      <xdr:row>35</xdr:row>
      <xdr:rowOff>83324</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358588</xdr:colOff>
      <xdr:row>15</xdr:row>
      <xdr:rowOff>78440</xdr:rowOff>
    </xdr:from>
    <xdr:to>
      <xdr:col>5</xdr:col>
      <xdr:colOff>515471</xdr:colOff>
      <xdr:row>25</xdr:row>
      <xdr:rowOff>89646</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358588" y="2566146"/>
          <a:ext cx="2543736" cy="158002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These values were pulled from the chart for DA in the NFM</a:t>
          </a:r>
          <a:r>
            <a:rPr lang="en-US" sz="1100" baseline="0"/>
            <a:t> using a software that digitally calibrated the image according to user selected inputs, then pulled the X and Y coords when the intersection of the line was clicked on by the user.</a:t>
          </a:r>
          <a:endParaRPr lang="en-US" sz="1100"/>
        </a:p>
        <a:p>
          <a:endParaRPr lang="en-US" sz="1100"/>
        </a:p>
        <a:p>
          <a:r>
            <a:rPr lang="en-US" sz="1100"/>
            <a:t>Capt</a:t>
          </a:r>
          <a:r>
            <a:rPr lang="en-US" sz="1100" baseline="0"/>
            <a:t> Steven Flood on 8 Apr 2020</a:t>
          </a:r>
          <a:endParaRPr lang="en-US" sz="1100"/>
        </a:p>
      </xdr:txBody>
    </xdr:sp>
    <xdr:clientData/>
  </xdr:twoCellAnchor>
  <xdr:twoCellAnchor>
    <xdr:from>
      <xdr:col>6</xdr:col>
      <xdr:colOff>201705</xdr:colOff>
      <xdr:row>9</xdr:row>
      <xdr:rowOff>33616</xdr:rowOff>
    </xdr:from>
    <xdr:to>
      <xdr:col>10</xdr:col>
      <xdr:colOff>324971</xdr:colOff>
      <xdr:row>18</xdr:row>
      <xdr:rowOff>33618</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3193676" y="1535204"/>
          <a:ext cx="2543736" cy="1456767"/>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These equations were developed using a software called 'Graph' that was able to draw the lines for the points in the previous table. Graph was more</a:t>
          </a:r>
          <a:r>
            <a:rPr lang="en-US" sz="1100" baseline="0"/>
            <a:t> user friendly for determining and copying the trendline for data points.</a:t>
          </a:r>
          <a:endParaRPr lang="en-US" sz="1100"/>
        </a:p>
        <a:p>
          <a:endParaRPr lang="en-US" sz="1100"/>
        </a:p>
        <a:p>
          <a:r>
            <a:rPr lang="en-US" sz="1100"/>
            <a:t>Capt</a:t>
          </a:r>
          <a:r>
            <a:rPr lang="en-US" sz="1100" baseline="0"/>
            <a:t> Steven Flood on 8 Apr 2020</a:t>
          </a:r>
          <a:endParaRPr lang="en-US" sz="1100"/>
        </a:p>
      </xdr:txBody>
    </xdr:sp>
    <xdr:clientData/>
  </xdr:twoCellAnchor>
  <xdr:twoCellAnchor>
    <xdr:from>
      <xdr:col>15</xdr:col>
      <xdr:colOff>141193</xdr:colOff>
      <xdr:row>1</xdr:row>
      <xdr:rowOff>107574</xdr:rowOff>
    </xdr:from>
    <xdr:to>
      <xdr:col>16</xdr:col>
      <xdr:colOff>336176</xdr:colOff>
      <xdr:row>32</xdr:row>
      <xdr:rowOff>68036</xdr:rowOff>
    </xdr:to>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8672872" y="352503"/>
          <a:ext cx="807304" cy="509035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Averages for the PAs in the far left column were used because</a:t>
          </a:r>
          <a:r>
            <a:rPr lang="en-US" sz="1100" baseline="0"/>
            <a:t> of variances between PA's ofapproximately 100 ft. This results in negligible changes  with respect to the HIGE  and HOGE powers via the DA.</a:t>
          </a:r>
        </a:p>
        <a:p>
          <a:endParaRPr lang="en-US" sz="1100" baseline="0"/>
        </a:p>
        <a:p>
          <a:endParaRPr lang="en-US" sz="1100"/>
        </a:p>
        <a:p>
          <a:r>
            <a:rPr lang="en-US" sz="1100"/>
            <a:t>Capt</a:t>
          </a:r>
          <a:r>
            <a:rPr lang="en-US" sz="1100" baseline="0"/>
            <a:t> Steven Flood on 8 Apr 2020</a:t>
          </a:r>
          <a:endParaRPr lang="en-US" sz="1100"/>
        </a:p>
      </xdr:txBody>
    </xdr:sp>
    <xdr:clientData/>
  </xdr:twoCellAnchor>
  <xdr:twoCellAnchor>
    <xdr:from>
      <xdr:col>17</xdr:col>
      <xdr:colOff>582704</xdr:colOff>
      <xdr:row>10</xdr:row>
      <xdr:rowOff>13607</xdr:rowOff>
    </xdr:from>
    <xdr:to>
      <xdr:col>19</xdr:col>
      <xdr:colOff>78441</xdr:colOff>
      <xdr:row>17</xdr:row>
      <xdr:rowOff>33617</xdr:rowOff>
    </xdr:to>
    <xdr:sp macro="" textlink="">
      <xdr:nvSpPr>
        <xdr:cNvPr id="10" name="TextBox 9">
          <a:extLst>
            <a:ext uri="{FF2B5EF4-FFF2-40B4-BE49-F238E27FC236}">
              <a16:creationId xmlns:a16="http://schemas.microsoft.com/office/drawing/2014/main" id="{00000000-0008-0000-0700-00000A000000}"/>
            </a:ext>
          </a:extLst>
        </xdr:cNvPr>
        <xdr:cNvSpPr txBox="1"/>
      </xdr:nvSpPr>
      <xdr:spPr>
        <a:xfrm>
          <a:off x="10339025" y="1741714"/>
          <a:ext cx="3101630" cy="121743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Thes</a:t>
          </a:r>
          <a:r>
            <a:rPr lang="en-US" sz="1100" baseline="0"/>
            <a:t>e equations were developed using the 'Graph' software, once more as a result of the ease of pulling equations and the accuracy of the trendlines.</a:t>
          </a:r>
        </a:p>
        <a:p>
          <a:endParaRPr lang="en-US" sz="1100"/>
        </a:p>
        <a:p>
          <a:r>
            <a:rPr lang="en-US" sz="1100"/>
            <a:t>Capt</a:t>
          </a:r>
          <a:r>
            <a:rPr lang="en-US" sz="1100" baseline="0"/>
            <a:t> Steven Flood on 8 Apr 2020</a:t>
          </a:r>
          <a:endParaRPr lang="en-US" sz="1100"/>
        </a:p>
      </xdr:txBody>
    </xdr:sp>
    <xdr:clientData/>
  </xdr:twoCellAnchor>
  <xdr:twoCellAnchor>
    <xdr:from>
      <xdr:col>19</xdr:col>
      <xdr:colOff>398928</xdr:colOff>
      <xdr:row>9</xdr:row>
      <xdr:rowOff>29135</xdr:rowOff>
    </xdr:from>
    <xdr:to>
      <xdr:col>21</xdr:col>
      <xdr:colOff>408213</xdr:colOff>
      <xdr:row>15</xdr:row>
      <xdr:rowOff>13607</xdr:rowOff>
    </xdr:to>
    <xdr:sp macro="" textlink="">
      <xdr:nvSpPr>
        <xdr:cNvPr id="11" name="TextBox 10">
          <a:extLst>
            <a:ext uri="{FF2B5EF4-FFF2-40B4-BE49-F238E27FC236}">
              <a16:creationId xmlns:a16="http://schemas.microsoft.com/office/drawing/2014/main" id="{00000000-0008-0000-0700-00000B000000}"/>
            </a:ext>
          </a:extLst>
        </xdr:cNvPr>
        <xdr:cNvSpPr txBox="1"/>
      </xdr:nvSpPr>
      <xdr:spPr>
        <a:xfrm>
          <a:off x="13761142" y="1593956"/>
          <a:ext cx="1696571" cy="101861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These are the coefficients</a:t>
          </a:r>
          <a:r>
            <a:rPr lang="en-US" sz="1100" baseline="0"/>
            <a:t> for the polynomials.</a:t>
          </a:r>
        </a:p>
        <a:p>
          <a:endParaRPr lang="en-US" sz="1100"/>
        </a:p>
        <a:p>
          <a:r>
            <a:rPr lang="en-US" sz="1100"/>
            <a:t>Capt</a:t>
          </a:r>
          <a:r>
            <a:rPr lang="en-US" sz="1100" baseline="0"/>
            <a:t> Steven Flood on 8 Apr 2020</a:t>
          </a:r>
          <a:endParaRPr lang="en-US" sz="1100"/>
        </a:p>
      </xdr:txBody>
    </xdr:sp>
    <xdr:clientData/>
  </xdr:twoCellAnchor>
  <xdr:twoCellAnchor>
    <xdr:from>
      <xdr:col>21</xdr:col>
      <xdr:colOff>911680</xdr:colOff>
      <xdr:row>10</xdr:row>
      <xdr:rowOff>2241</xdr:rowOff>
    </xdr:from>
    <xdr:to>
      <xdr:col>22</xdr:col>
      <xdr:colOff>840442</xdr:colOff>
      <xdr:row>21</xdr:row>
      <xdr:rowOff>149679</xdr:rowOff>
    </xdr:to>
    <xdr:sp macro="" textlink="">
      <xdr:nvSpPr>
        <xdr:cNvPr id="12" name="TextBox 11">
          <a:extLst>
            <a:ext uri="{FF2B5EF4-FFF2-40B4-BE49-F238E27FC236}">
              <a16:creationId xmlns:a16="http://schemas.microsoft.com/office/drawing/2014/main" id="{00000000-0008-0000-0700-00000C000000}"/>
            </a:ext>
          </a:extLst>
        </xdr:cNvPr>
        <xdr:cNvSpPr txBox="1"/>
      </xdr:nvSpPr>
      <xdr:spPr>
        <a:xfrm>
          <a:off x="15961180" y="1730348"/>
          <a:ext cx="908476" cy="199801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column is the</a:t>
          </a:r>
          <a:r>
            <a:rPr lang="en-US" sz="1100" baseline="0"/>
            <a:t> result of the equations using the polynomials.</a:t>
          </a:r>
        </a:p>
        <a:p>
          <a:endParaRPr lang="en-US" sz="1100"/>
        </a:p>
        <a:p>
          <a:r>
            <a:rPr lang="en-US" sz="1100"/>
            <a:t>Capt</a:t>
          </a:r>
          <a:r>
            <a:rPr lang="en-US" sz="1100" baseline="0"/>
            <a:t> Steven Flood on 8 Apr 2020</a:t>
          </a:r>
          <a:endParaRPr lang="en-US" sz="1100"/>
        </a:p>
      </xdr:txBody>
    </xdr:sp>
    <xdr:clientData/>
  </xdr:twoCellAnchor>
  <xdr:twoCellAnchor>
    <xdr:from>
      <xdr:col>23</xdr:col>
      <xdr:colOff>21771</xdr:colOff>
      <xdr:row>10</xdr:row>
      <xdr:rowOff>20168</xdr:rowOff>
    </xdr:from>
    <xdr:to>
      <xdr:col>24</xdr:col>
      <xdr:colOff>95250</xdr:colOff>
      <xdr:row>26</xdr:row>
      <xdr:rowOff>27214</xdr:rowOff>
    </xdr:to>
    <xdr:sp macro="" textlink="">
      <xdr:nvSpPr>
        <xdr:cNvPr id="14" name="TextBox 13">
          <a:extLst>
            <a:ext uri="{FF2B5EF4-FFF2-40B4-BE49-F238E27FC236}">
              <a16:creationId xmlns:a16="http://schemas.microsoft.com/office/drawing/2014/main" id="{00000000-0008-0000-0700-00000E000000}"/>
            </a:ext>
          </a:extLst>
        </xdr:cNvPr>
        <xdr:cNvSpPr txBox="1"/>
      </xdr:nvSpPr>
      <xdr:spPr>
        <a:xfrm>
          <a:off x="16894628" y="1748275"/>
          <a:ext cx="917122" cy="267404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column interpolates</a:t>
          </a:r>
          <a:r>
            <a:rPr lang="en-US" sz="1100" baseline="0"/>
            <a:t> for the appropriate temperature that has been input on the front page in the 'Temperature' cell.</a:t>
          </a:r>
        </a:p>
        <a:p>
          <a:endParaRPr lang="en-US" sz="1100"/>
        </a:p>
        <a:p>
          <a:r>
            <a:rPr lang="en-US" sz="1100"/>
            <a:t>Capt</a:t>
          </a:r>
          <a:r>
            <a:rPr lang="en-US" sz="1100" baseline="0"/>
            <a:t> Steven Flood on 8 Apr 2020</a:t>
          </a:r>
          <a:endParaRPr lang="en-US" sz="1100"/>
        </a:p>
      </xdr:txBody>
    </xdr:sp>
    <xdr:clientData/>
  </xdr:twoCellAnchor>
  <xdr:twoCellAnchor>
    <xdr:from>
      <xdr:col>41</xdr:col>
      <xdr:colOff>477048</xdr:colOff>
      <xdr:row>5</xdr:row>
      <xdr:rowOff>150319</xdr:rowOff>
    </xdr:from>
    <xdr:to>
      <xdr:col>50</xdr:col>
      <xdr:colOff>424542</xdr:colOff>
      <xdr:row>10</xdr:row>
      <xdr:rowOff>102055</xdr:rowOff>
    </xdr:to>
    <xdr:sp macro="" textlink="">
      <xdr:nvSpPr>
        <xdr:cNvPr id="15" name="TextBox 14">
          <a:extLst>
            <a:ext uri="{FF2B5EF4-FFF2-40B4-BE49-F238E27FC236}">
              <a16:creationId xmlns:a16="http://schemas.microsoft.com/office/drawing/2014/main" id="{00000000-0008-0000-0700-00000F000000}"/>
            </a:ext>
          </a:extLst>
        </xdr:cNvPr>
        <xdr:cNvSpPr txBox="1"/>
      </xdr:nvSpPr>
      <xdr:spPr>
        <a:xfrm>
          <a:off x="28509123" y="1036144"/>
          <a:ext cx="5433894" cy="77088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above table is anothe</a:t>
          </a:r>
          <a:r>
            <a:rPr lang="en-US" sz="1100" baseline="0"/>
            <a:t>r data pull from the HIGE/HOGE chart using the digital calibration.</a:t>
          </a:r>
        </a:p>
        <a:p>
          <a:endParaRPr lang="en-US" sz="1100"/>
        </a:p>
        <a:p>
          <a:r>
            <a:rPr lang="en-US" sz="1100"/>
            <a:t>Capt</a:t>
          </a:r>
          <a:r>
            <a:rPr lang="en-US" sz="1100" baseline="0"/>
            <a:t> Steven Flood on 8 Apr 2020</a:t>
          </a:r>
          <a:endParaRPr lang="en-US" sz="1100"/>
        </a:p>
      </xdr:txBody>
    </xdr:sp>
    <xdr:clientData/>
  </xdr:twoCellAnchor>
  <xdr:twoCellAnchor>
    <xdr:from>
      <xdr:col>37</xdr:col>
      <xdr:colOff>582706</xdr:colOff>
      <xdr:row>31</xdr:row>
      <xdr:rowOff>96369</xdr:rowOff>
    </xdr:from>
    <xdr:to>
      <xdr:col>45</xdr:col>
      <xdr:colOff>89648</xdr:colOff>
      <xdr:row>38</xdr:row>
      <xdr:rowOff>112059</xdr:rowOff>
    </xdr:to>
    <xdr:sp macro="" textlink="">
      <xdr:nvSpPr>
        <xdr:cNvPr id="16" name="TextBox 15">
          <a:extLst>
            <a:ext uri="{FF2B5EF4-FFF2-40B4-BE49-F238E27FC236}">
              <a16:creationId xmlns:a16="http://schemas.microsoft.com/office/drawing/2014/main" id="{00000000-0008-0000-0700-000010000000}"/>
            </a:ext>
          </a:extLst>
        </xdr:cNvPr>
        <xdr:cNvSpPr txBox="1"/>
      </xdr:nvSpPr>
      <xdr:spPr>
        <a:xfrm>
          <a:off x="26076088" y="5094193"/>
          <a:ext cx="4347884" cy="111386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above table uses the</a:t>
          </a:r>
          <a:r>
            <a:rPr lang="en-US" sz="1100" baseline="0"/>
            <a:t> equations of the trendlines from the data set pulled from the HIGE/HOGE charts. The equations were copied and pasted from the 'Graph' program and the name 'x' applied to the DA cell on the front cover page.</a:t>
          </a:r>
        </a:p>
        <a:p>
          <a:endParaRPr lang="en-US" sz="1100"/>
        </a:p>
        <a:p>
          <a:r>
            <a:rPr lang="en-US" sz="1100"/>
            <a:t>Capt</a:t>
          </a:r>
          <a:r>
            <a:rPr lang="en-US" sz="1100" baseline="0"/>
            <a:t> Steven Flood on 8 Apr 2020</a:t>
          </a:r>
          <a:endParaRPr lang="en-US" sz="1100"/>
        </a:p>
      </xdr:txBody>
    </xdr:sp>
    <xdr:clientData/>
  </xdr:twoCellAnchor>
  <xdr:twoCellAnchor>
    <xdr:from>
      <xdr:col>45</xdr:col>
      <xdr:colOff>570700</xdr:colOff>
      <xdr:row>30</xdr:row>
      <xdr:rowOff>77960</xdr:rowOff>
    </xdr:from>
    <xdr:to>
      <xdr:col>48</xdr:col>
      <xdr:colOff>81644</xdr:colOff>
      <xdr:row>47</xdr:row>
      <xdr:rowOff>66674</xdr:rowOff>
    </xdr:to>
    <xdr:sp macro="" textlink="">
      <xdr:nvSpPr>
        <xdr:cNvPr id="17" name="TextBox 16">
          <a:extLst>
            <a:ext uri="{FF2B5EF4-FFF2-40B4-BE49-F238E27FC236}">
              <a16:creationId xmlns:a16="http://schemas.microsoft.com/office/drawing/2014/main" id="{00000000-0008-0000-0700-000011000000}"/>
            </a:ext>
          </a:extLst>
        </xdr:cNvPr>
        <xdr:cNvSpPr txBox="1"/>
      </xdr:nvSpPr>
      <xdr:spPr>
        <a:xfrm>
          <a:off x="31041175" y="5059535"/>
          <a:ext cx="1339744" cy="2741439"/>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values</a:t>
          </a:r>
          <a:r>
            <a:rPr lang="en-US" sz="1100" baseline="0"/>
            <a:t> above are interpolated from the table on the left based on whether the aircraft weight falls within the weight in the far left column AND the value above it. Interpolation between HIGE heights is used.</a:t>
          </a:r>
        </a:p>
        <a:p>
          <a:endParaRPr lang="en-US" sz="1100"/>
        </a:p>
        <a:p>
          <a:r>
            <a:rPr lang="en-US" sz="1100"/>
            <a:t>Capt</a:t>
          </a:r>
          <a:r>
            <a:rPr lang="en-US" sz="1100" baseline="0"/>
            <a:t> Steven Flood on 5 May 2020</a:t>
          </a:r>
          <a:endParaRPr lang="en-US" sz="1100"/>
        </a:p>
      </xdr:txBody>
    </xdr:sp>
    <xdr:clientData/>
  </xdr:twoCellAnchor>
  <xdr:twoCellAnchor>
    <xdr:from>
      <xdr:col>48</xdr:col>
      <xdr:colOff>134471</xdr:colOff>
      <xdr:row>19</xdr:row>
      <xdr:rowOff>123265</xdr:rowOff>
    </xdr:from>
    <xdr:to>
      <xdr:col>48</xdr:col>
      <xdr:colOff>537883</xdr:colOff>
      <xdr:row>30</xdr:row>
      <xdr:rowOff>11206</xdr:rowOff>
    </xdr:to>
    <xdr:sp macro="" textlink="">
      <xdr:nvSpPr>
        <xdr:cNvPr id="4" name="Right Arrow 3">
          <a:extLst>
            <a:ext uri="{FF2B5EF4-FFF2-40B4-BE49-F238E27FC236}">
              <a16:creationId xmlns:a16="http://schemas.microsoft.com/office/drawing/2014/main" id="{00000000-0008-0000-0700-000004000000}"/>
            </a:ext>
          </a:extLst>
        </xdr:cNvPr>
        <xdr:cNvSpPr/>
      </xdr:nvSpPr>
      <xdr:spPr>
        <a:xfrm>
          <a:off x="32284147" y="3238500"/>
          <a:ext cx="403412" cy="1613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50</xdr:col>
      <xdr:colOff>141601</xdr:colOff>
      <xdr:row>0</xdr:row>
      <xdr:rowOff>155864</xdr:rowOff>
    </xdr:from>
    <xdr:to>
      <xdr:col>50</xdr:col>
      <xdr:colOff>545013</xdr:colOff>
      <xdr:row>5</xdr:row>
      <xdr:rowOff>1</xdr:rowOff>
    </xdr:to>
    <xdr:sp macro="" textlink="">
      <xdr:nvSpPr>
        <xdr:cNvPr id="18" name="Right Arrow 17">
          <a:extLst>
            <a:ext uri="{FF2B5EF4-FFF2-40B4-BE49-F238E27FC236}">
              <a16:creationId xmlns:a16="http://schemas.microsoft.com/office/drawing/2014/main" id="{00000000-0008-0000-0700-000012000000}"/>
            </a:ext>
          </a:extLst>
        </xdr:cNvPr>
        <xdr:cNvSpPr/>
      </xdr:nvSpPr>
      <xdr:spPr>
        <a:xfrm>
          <a:off x="33660076" y="155864"/>
          <a:ext cx="403412" cy="7299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380201</xdr:colOff>
      <xdr:row>9</xdr:row>
      <xdr:rowOff>800</xdr:rowOff>
    </xdr:from>
    <xdr:to>
      <xdr:col>19</xdr:col>
      <xdr:colOff>204108</xdr:colOff>
      <xdr:row>9</xdr:row>
      <xdr:rowOff>149679</xdr:rowOff>
    </xdr:to>
    <xdr:sp macro="" textlink="">
      <xdr:nvSpPr>
        <xdr:cNvPr id="19" name="Right Arrow 18">
          <a:extLst>
            <a:ext uri="{FF2B5EF4-FFF2-40B4-BE49-F238E27FC236}">
              <a16:creationId xmlns:a16="http://schemas.microsoft.com/office/drawing/2014/main" id="{00000000-0008-0000-0700-000013000000}"/>
            </a:ext>
          </a:extLst>
        </xdr:cNvPr>
        <xdr:cNvSpPr/>
      </xdr:nvSpPr>
      <xdr:spPr>
        <a:xfrm rot="16200000">
          <a:off x="11776982" y="-74839"/>
          <a:ext cx="148879" cy="3429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40822</xdr:colOff>
      <xdr:row>15</xdr:row>
      <xdr:rowOff>25133</xdr:rowOff>
    </xdr:from>
    <xdr:to>
      <xdr:col>40</xdr:col>
      <xdr:colOff>557891</xdr:colOff>
      <xdr:row>20</xdr:row>
      <xdr:rowOff>2722</xdr:rowOff>
    </xdr:to>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18369643" y="2624097"/>
          <a:ext cx="9674677" cy="794018"/>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above table is data used for the construction of the graph below relating HOGE-</a:t>
          </a:r>
          <a:r>
            <a:rPr lang="en-US" sz="1100" baseline="0"/>
            <a:t>Q (on the Y axis) to DA (on the X-axis, in feet), based on gross weight.</a:t>
          </a:r>
        </a:p>
        <a:p>
          <a:endParaRPr lang="en-US" sz="1100"/>
        </a:p>
        <a:p>
          <a:r>
            <a:rPr lang="en-US" sz="1100"/>
            <a:t>Capt</a:t>
          </a:r>
          <a:r>
            <a:rPr lang="en-US" sz="1100" baseline="0"/>
            <a:t> Steven Flood on 5 May 2020</a:t>
          </a:r>
          <a:endParaRPr lang="en-US" sz="1100"/>
        </a:p>
      </xdr:txBody>
    </xdr:sp>
    <xdr:clientData/>
  </xdr:twoCellAnchor>
  <xdr:twoCellAnchor>
    <xdr:from>
      <xdr:col>51</xdr:col>
      <xdr:colOff>85163</xdr:colOff>
      <xdr:row>14</xdr:row>
      <xdr:rowOff>27855</xdr:rowOff>
    </xdr:from>
    <xdr:to>
      <xdr:col>60</xdr:col>
      <xdr:colOff>32657</xdr:colOff>
      <xdr:row>19</xdr:row>
      <xdr:rowOff>33618</xdr:rowOff>
    </xdr:to>
    <xdr:sp macro="" textlink="">
      <xdr:nvSpPr>
        <xdr:cNvPr id="23" name="TextBox 22">
          <a:extLst>
            <a:ext uri="{FF2B5EF4-FFF2-40B4-BE49-F238E27FC236}">
              <a16:creationId xmlns:a16="http://schemas.microsoft.com/office/drawing/2014/main" id="{00000000-0008-0000-0700-000017000000}"/>
            </a:ext>
          </a:extLst>
        </xdr:cNvPr>
        <xdr:cNvSpPr txBox="1"/>
      </xdr:nvSpPr>
      <xdr:spPr>
        <a:xfrm>
          <a:off x="34050192" y="2347473"/>
          <a:ext cx="5393553" cy="80138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The above chart is a QA and establishment of the trendline of the linear relationships between HIGE and HOGE to ensure determine a formula for  use.</a:t>
          </a:r>
        </a:p>
        <a:p>
          <a:endParaRPr lang="en-US" sz="1100"/>
        </a:p>
        <a:p>
          <a:r>
            <a:rPr lang="en-US" sz="1100"/>
            <a:t>Capt</a:t>
          </a:r>
          <a:r>
            <a:rPr lang="en-US" sz="1100" baseline="0"/>
            <a:t> Steven Flood on 5 May 2020</a:t>
          </a:r>
          <a:endParaRPr lang="en-US" sz="1100"/>
        </a:p>
      </xdr:txBody>
    </xdr:sp>
    <xdr:clientData/>
  </xdr:twoCellAnchor>
  <xdr:twoCellAnchor>
    <xdr:from>
      <xdr:col>49</xdr:col>
      <xdr:colOff>183135</xdr:colOff>
      <xdr:row>36</xdr:row>
      <xdr:rowOff>30576</xdr:rowOff>
    </xdr:from>
    <xdr:to>
      <xdr:col>58</xdr:col>
      <xdr:colOff>130629</xdr:colOff>
      <xdr:row>41</xdr:row>
      <xdr:rowOff>134471</xdr:rowOff>
    </xdr:to>
    <xdr:sp macro="" textlink="">
      <xdr:nvSpPr>
        <xdr:cNvPr id="24" name="TextBox 23">
          <a:extLst>
            <a:ext uri="{FF2B5EF4-FFF2-40B4-BE49-F238E27FC236}">
              <a16:creationId xmlns:a16="http://schemas.microsoft.com/office/drawing/2014/main" id="{00000000-0008-0000-0700-000018000000}"/>
            </a:ext>
          </a:extLst>
        </xdr:cNvPr>
        <xdr:cNvSpPr txBox="1"/>
      </xdr:nvSpPr>
      <xdr:spPr>
        <a:xfrm>
          <a:off x="32937929" y="5812811"/>
          <a:ext cx="5393553" cy="888307"/>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The above chart is a QA and establishment of the trendline of the linear relationships between HIGE and HOGE to ensure determine a formula for  use.</a:t>
          </a:r>
        </a:p>
        <a:p>
          <a:endParaRPr lang="en-US" sz="1100"/>
        </a:p>
        <a:p>
          <a:r>
            <a:rPr lang="en-US" sz="1100"/>
            <a:t>Capt</a:t>
          </a:r>
          <a:r>
            <a:rPr lang="en-US" sz="1100" baseline="0"/>
            <a:t> Steven Flood on 5 May 2020</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jects\Weight%20and%20Power\TH-57%20Weight%20and%20Balance%20-%20Simple%20-%20Secu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 &amp; B"/>
      <sheetName val="CG Envelope"/>
      <sheetName val="Data"/>
      <sheetName val="How-to-update"/>
      <sheetName val="PA_DA_HIGE_HOGE"/>
      <sheetName val="AOB Power Addition"/>
    </sheetNames>
    <sheetDataSet>
      <sheetData sheetId="0">
        <row r="4">
          <cell r="I4">
            <v>30</v>
          </cell>
        </row>
        <row r="6">
          <cell r="I6">
            <v>2130</v>
          </cell>
        </row>
        <row r="42">
          <cell r="I42">
            <v>2975.38</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ackage" Target="../embeddings/Microsoft_Word_Document2.docx"/><Relationship Id="rId13" Type="http://schemas.openxmlformats.org/officeDocument/2006/relationships/image" Target="../media/image6.emf"/><Relationship Id="rId18" Type="http://schemas.openxmlformats.org/officeDocument/2006/relationships/package" Target="../embeddings/Microsoft_Word_Document6.docx"/><Relationship Id="rId3" Type="http://schemas.openxmlformats.org/officeDocument/2006/relationships/vmlDrawing" Target="../drawings/vmlDrawing2.vml"/><Relationship Id="rId7" Type="http://schemas.openxmlformats.org/officeDocument/2006/relationships/image" Target="../media/image3.emf"/><Relationship Id="rId12" Type="http://schemas.openxmlformats.org/officeDocument/2006/relationships/package" Target="../embeddings/Microsoft_Word_Document3.docx"/><Relationship Id="rId17" Type="http://schemas.openxmlformats.org/officeDocument/2006/relationships/image" Target="../media/image8.emf"/><Relationship Id="rId2" Type="http://schemas.openxmlformats.org/officeDocument/2006/relationships/drawing" Target="../drawings/drawing3.xml"/><Relationship Id="rId16" Type="http://schemas.openxmlformats.org/officeDocument/2006/relationships/package" Target="../embeddings/Microsoft_Word_Document5.docx"/><Relationship Id="rId20" Type="http://schemas.openxmlformats.org/officeDocument/2006/relationships/comments" Target="../comments2.xml"/><Relationship Id="rId1" Type="http://schemas.openxmlformats.org/officeDocument/2006/relationships/printerSettings" Target="../printerSettings/printerSettings6.bin"/><Relationship Id="rId6" Type="http://schemas.openxmlformats.org/officeDocument/2006/relationships/package" Target="../embeddings/Microsoft_Word_Document1.docx"/><Relationship Id="rId11" Type="http://schemas.openxmlformats.org/officeDocument/2006/relationships/image" Target="../media/image5.emf"/><Relationship Id="rId5" Type="http://schemas.openxmlformats.org/officeDocument/2006/relationships/image" Target="../media/image2.emf"/><Relationship Id="rId15" Type="http://schemas.openxmlformats.org/officeDocument/2006/relationships/image" Target="../media/image7.emf"/><Relationship Id="rId10" Type="http://schemas.openxmlformats.org/officeDocument/2006/relationships/package" Target="../embeddings/Microsoft_PowerPoint_Presentation.pptx"/><Relationship Id="rId19" Type="http://schemas.openxmlformats.org/officeDocument/2006/relationships/image" Target="../media/image9.emf"/><Relationship Id="rId4" Type="http://schemas.openxmlformats.org/officeDocument/2006/relationships/package" Target="../embeddings/Microsoft_Word_Document.docx"/><Relationship Id="rId9" Type="http://schemas.openxmlformats.org/officeDocument/2006/relationships/image" Target="../media/image4.emf"/><Relationship Id="rId14" Type="http://schemas.openxmlformats.org/officeDocument/2006/relationships/package" Target="../embeddings/Microsoft_Word_Document4.docx"/></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3:W111"/>
  <sheetViews>
    <sheetView zoomScale="115" zoomScaleNormal="115" workbookViewId="0">
      <selection activeCell="J14" sqref="J14"/>
    </sheetView>
  </sheetViews>
  <sheetFormatPr defaultRowHeight="12.75" x14ac:dyDescent="0.2"/>
  <cols>
    <col min="1" max="1" width="15" customWidth="1"/>
    <col min="2" max="2" width="2.7109375" customWidth="1"/>
    <col min="3" max="3" width="6.140625" customWidth="1"/>
    <col min="4" max="4" width="6.28515625" customWidth="1"/>
    <col min="5" max="5" width="5.42578125" customWidth="1"/>
    <col min="6" max="6" width="8.42578125" customWidth="1"/>
    <col min="7" max="7" width="9.28515625" customWidth="1"/>
    <col min="8" max="8" width="10.7109375" hidden="1" customWidth="1"/>
    <col min="9" max="9" width="14.85546875" customWidth="1"/>
    <col min="10" max="10" width="7.28515625" customWidth="1"/>
    <col min="11" max="11" width="13.5703125" hidden="1" customWidth="1"/>
    <col min="12" max="12" width="10.42578125" hidden="1" customWidth="1"/>
    <col min="13" max="13" width="6.28515625" hidden="1" customWidth="1"/>
    <col min="14" max="14" width="8.42578125" hidden="1" customWidth="1"/>
    <col min="15" max="15" width="10.7109375" hidden="1" customWidth="1"/>
    <col min="16" max="16" width="14.85546875" hidden="1" customWidth="1"/>
    <col min="17" max="17" width="12" customWidth="1"/>
  </cols>
  <sheetData>
    <row r="3" spans="1:16" ht="18" x14ac:dyDescent="0.25">
      <c r="A3" s="1"/>
      <c r="B3" s="1"/>
      <c r="C3" s="219" t="s">
        <v>8</v>
      </c>
      <c r="D3" s="219"/>
      <c r="E3" s="219"/>
      <c r="F3" s="219"/>
      <c r="G3" s="219"/>
      <c r="H3" s="27"/>
      <c r="I3" s="2"/>
      <c r="K3" s="1"/>
      <c r="L3" s="219" t="s">
        <v>8</v>
      </c>
      <c r="M3" s="219"/>
      <c r="N3" s="219"/>
      <c r="O3" s="219"/>
      <c r="P3" s="2"/>
    </row>
    <row r="4" spans="1:16" s="4" customFormat="1" ht="12.75" customHeight="1" x14ac:dyDescent="0.2">
      <c r="A4" s="6" t="s">
        <v>43</v>
      </c>
      <c r="B4" s="6"/>
      <c r="C4" s="66"/>
      <c r="D4" s="5" t="s">
        <v>174</v>
      </c>
      <c r="E4" s="62"/>
      <c r="F4" s="5"/>
      <c r="G4" s="6" t="s">
        <v>44</v>
      </c>
      <c r="H4" s="6"/>
      <c r="I4" s="60">
        <f ca="1">TODAY()</f>
        <v>45345</v>
      </c>
      <c r="K4" s="6" t="s">
        <v>43</v>
      </c>
      <c r="L4" s="22"/>
      <c r="M4" s="5"/>
      <c r="N4" s="5"/>
      <c r="O4" s="6" t="s">
        <v>44</v>
      </c>
      <c r="P4" s="7"/>
    </row>
    <row r="5" spans="1:16" s="4" customFormat="1" ht="11.25" x14ac:dyDescent="0.2">
      <c r="A5" s="3" t="s">
        <v>0</v>
      </c>
      <c r="B5" s="3"/>
      <c r="C5" s="62"/>
      <c r="D5" s="62"/>
      <c r="E5" s="62"/>
      <c r="F5" s="62"/>
      <c r="G5" s="3" t="s">
        <v>3</v>
      </c>
      <c r="H5" s="3"/>
      <c r="I5" s="62"/>
      <c r="K5" s="3" t="s">
        <v>0</v>
      </c>
      <c r="L5" s="7"/>
      <c r="M5" s="7"/>
      <c r="N5" s="7"/>
      <c r="O5" s="3" t="s">
        <v>3</v>
      </c>
      <c r="P5" s="7"/>
    </row>
    <row r="6" spans="1:16" s="4" customFormat="1" ht="11.25" x14ac:dyDescent="0.2">
      <c r="A6" s="3" t="s">
        <v>67</v>
      </c>
      <c r="B6" s="3"/>
      <c r="C6" s="64" t="s">
        <v>68</v>
      </c>
      <c r="D6" s="65" t="s">
        <v>386</v>
      </c>
      <c r="E6" s="4" t="s">
        <v>2</v>
      </c>
      <c r="F6" s="63"/>
      <c r="G6" s="3" t="s">
        <v>5</v>
      </c>
      <c r="H6" s="3"/>
      <c r="I6" s="62"/>
      <c r="K6" s="3" t="s">
        <v>1</v>
      </c>
      <c r="L6" s="8"/>
      <c r="M6" s="4" t="s">
        <v>2</v>
      </c>
      <c r="N6" s="8"/>
      <c r="O6" s="3" t="s">
        <v>5</v>
      </c>
      <c r="P6" s="7"/>
    </row>
    <row r="7" spans="1:16" s="4" customFormat="1" ht="11.25" x14ac:dyDescent="0.2">
      <c r="A7" s="3" t="s">
        <v>4</v>
      </c>
      <c r="B7" s="3"/>
      <c r="C7" s="89" t="s">
        <v>168</v>
      </c>
      <c r="D7" s="88"/>
      <c r="E7" s="89" t="s">
        <v>183</v>
      </c>
      <c r="F7" s="88"/>
      <c r="G7" s="3" t="s">
        <v>6</v>
      </c>
      <c r="H7" s="3"/>
      <c r="I7" s="62"/>
      <c r="K7" s="3" t="s">
        <v>4</v>
      </c>
      <c r="L7" s="7"/>
      <c r="M7" s="7"/>
      <c r="N7" s="7"/>
      <c r="O7" s="3" t="s">
        <v>6</v>
      </c>
      <c r="P7" s="7"/>
    </row>
    <row r="8" spans="1:16" s="4" customFormat="1" ht="11.25" x14ac:dyDescent="0.2">
      <c r="A8" s="3" t="s">
        <v>45</v>
      </c>
      <c r="B8" s="3"/>
      <c r="C8" s="62"/>
      <c r="D8" s="62"/>
      <c r="E8" s="62"/>
      <c r="F8" s="62"/>
      <c r="G8" s="3" t="s">
        <v>7</v>
      </c>
      <c r="H8" s="3"/>
      <c r="I8" s="62"/>
      <c r="J8" s="61"/>
      <c r="K8" s="3" t="s">
        <v>45</v>
      </c>
      <c r="L8" s="7"/>
      <c r="M8" s="7"/>
      <c r="N8" s="7"/>
      <c r="O8" s="3" t="s">
        <v>7</v>
      </c>
      <c r="P8" s="7"/>
    </row>
    <row r="9" spans="1:16" ht="6" customHeight="1" x14ac:dyDescent="0.2"/>
    <row r="10" spans="1:16" ht="2.1" customHeight="1" x14ac:dyDescent="0.2">
      <c r="A10" s="221"/>
      <c r="B10" s="221"/>
      <c r="C10" s="221"/>
      <c r="D10" s="221"/>
      <c r="E10" s="221"/>
      <c r="F10" s="221"/>
      <c r="G10" s="221"/>
      <c r="H10" s="221"/>
      <c r="I10" s="221"/>
      <c r="K10" s="221"/>
      <c r="L10" s="221"/>
      <c r="M10" s="221"/>
      <c r="N10" s="221"/>
      <c r="O10" s="221"/>
      <c r="P10" s="221"/>
    </row>
    <row r="11" spans="1:16" ht="6" customHeight="1" x14ac:dyDescent="0.2"/>
    <row r="12" spans="1:16" s="4" customFormat="1" ht="11.25" x14ac:dyDescent="0.2">
      <c r="C12" s="222" t="s">
        <v>14</v>
      </c>
      <c r="D12" s="216"/>
      <c r="E12" s="223"/>
      <c r="F12" s="216" t="s">
        <v>40</v>
      </c>
      <c r="G12" s="216"/>
      <c r="H12" s="26" t="s">
        <v>55</v>
      </c>
      <c r="I12" s="9" t="s">
        <v>13</v>
      </c>
      <c r="L12" s="222" t="s">
        <v>14</v>
      </c>
      <c r="M12" s="223"/>
      <c r="N12" s="216" t="s">
        <v>40</v>
      </c>
      <c r="O12" s="216"/>
      <c r="P12" s="9" t="s">
        <v>13</v>
      </c>
    </row>
    <row r="13" spans="1:16" s="4" customFormat="1" ht="11.25" x14ac:dyDescent="0.2">
      <c r="A13" s="3" t="s">
        <v>10</v>
      </c>
      <c r="B13" s="3"/>
      <c r="C13" s="227" t="str">
        <f>IF(OR(ISBLANK(D6),D6="Side #"),IF(C6="B",VLOOKUP("+",Data!$B$76:$F$116,3,FALSE),VLOOKUP("+",Data!$B$3:$F$74,3,FALSE)),"")</f>
        <v/>
      </c>
      <c r="D13" s="228"/>
      <c r="E13" s="229"/>
      <c r="F13" s="227">
        <f ca="1">IF(OR(ISBLANK(D6),D6="Side #"),IF(C6="B",VLOOKUP(Data!$H$115,Data!$B$76:$F$116,3,FALSE),VLOOKUP(Data!$H$115,Data!$B$3:$F$74,3,FALSE)),VLOOKUP($D$6,Data!$C$3:$F$116,2,FALSE))</f>
        <v>1984.2</v>
      </c>
      <c r="G13" s="229"/>
      <c r="H13" s="116">
        <f ca="1">IF(OR(ISBLANK(D6),D6="Side #"),IF(C6="B",VLOOKUP("&amp;",Data!$B$76:$F$116,5,FALSE),VLOOKUP("&amp;",Data!$B$3:$F$74,5,FALSE)),VLOOKUP(D6,Data!$C$3:$F$116,4,FALSE))</f>
        <v>118.33</v>
      </c>
      <c r="I13" s="117">
        <f ca="1">IF(OR(ISBLANK(D6),D6="Side #"),IF(C6="B",VLOOKUP(Data!$H$115,Data!$B$76:$F$116,4,FALSE),VLOOKUP(Data!$H$115,Data!$B$3:$F$74,4,FALSE)),VLOOKUP($D$6,Data!$C$3:$F$116,3,FALSE))</f>
        <v>2347.98</v>
      </c>
      <c r="K13" s="3" t="s">
        <v>10</v>
      </c>
      <c r="L13" s="217"/>
      <c r="M13" s="218"/>
      <c r="N13" s="217"/>
      <c r="O13" s="218"/>
      <c r="P13" s="10"/>
    </row>
    <row r="14" spans="1:16" s="4" customFormat="1" ht="11.25" x14ac:dyDescent="0.2">
      <c r="A14" s="3" t="s">
        <v>11</v>
      </c>
      <c r="B14" s="3"/>
      <c r="C14" s="230" t="str">
        <f>IF(OR(F14="",C13=""),"",F14)</f>
        <v/>
      </c>
      <c r="D14" s="231"/>
      <c r="E14" s="232"/>
      <c r="F14" s="239"/>
      <c r="G14" s="240"/>
      <c r="H14" s="33">
        <v>0.65</v>
      </c>
      <c r="I14" s="34">
        <f>F14*H14</f>
        <v>0</v>
      </c>
      <c r="K14" s="3" t="s">
        <v>11</v>
      </c>
      <c r="L14" s="217"/>
      <c r="M14" s="218"/>
      <c r="N14" s="217"/>
      <c r="O14" s="218"/>
      <c r="P14" s="10"/>
    </row>
    <row r="15" spans="1:16" s="13" customFormat="1" ht="12" thickBot="1" x14ac:dyDescent="0.25">
      <c r="A15" s="11" t="s">
        <v>9</v>
      </c>
      <c r="B15" s="11"/>
      <c r="C15" s="233" t="str">
        <f>IF(OR(F15="",C13=""),"",F15)</f>
        <v/>
      </c>
      <c r="D15" s="234"/>
      <c r="E15" s="235"/>
      <c r="F15" s="233">
        <v>12</v>
      </c>
      <c r="G15" s="235"/>
      <c r="H15" s="35">
        <v>1.833</v>
      </c>
      <c r="I15" s="32">
        <v>22</v>
      </c>
      <c r="K15" s="11" t="s">
        <v>9</v>
      </c>
      <c r="L15" s="283" t="s">
        <v>36</v>
      </c>
      <c r="M15" s="284"/>
      <c r="N15" s="283" t="s">
        <v>34</v>
      </c>
      <c r="O15" s="284"/>
      <c r="P15" s="12" t="s">
        <v>35</v>
      </c>
    </row>
    <row r="16" spans="1:16" s="4" customFormat="1" ht="12" thickTop="1" x14ac:dyDescent="0.2">
      <c r="A16" s="3" t="s">
        <v>12</v>
      </c>
      <c r="B16" s="3"/>
      <c r="C16" s="236" t="str">
        <f>IF(C13="","",SUM(C13:E15))</f>
        <v/>
      </c>
      <c r="D16" s="237"/>
      <c r="E16" s="238"/>
      <c r="F16" s="236">
        <f ca="1">SUM(F13:G15)</f>
        <v>1996.2</v>
      </c>
      <c r="G16" s="238"/>
      <c r="H16" s="110"/>
      <c r="I16" s="111">
        <f ca="1">SUM(I13:I15)</f>
        <v>2369.98</v>
      </c>
      <c r="K16" s="3" t="s">
        <v>12</v>
      </c>
      <c r="L16" s="243"/>
      <c r="M16" s="244"/>
      <c r="N16" s="243"/>
      <c r="O16" s="244"/>
      <c r="P16" s="14"/>
    </row>
    <row r="17" spans="1:19" ht="6" customHeight="1" x14ac:dyDescent="0.2"/>
    <row r="18" spans="1:19" ht="2.1" customHeight="1" x14ac:dyDescent="0.2">
      <c r="A18" s="221"/>
      <c r="B18" s="221"/>
      <c r="C18" s="221"/>
      <c r="D18" s="221"/>
      <c r="E18" s="221"/>
      <c r="F18" s="221"/>
      <c r="G18" s="221"/>
      <c r="H18" s="221"/>
      <c r="I18" s="221"/>
      <c r="K18" s="221"/>
      <c r="L18" s="221"/>
      <c r="M18" s="221"/>
      <c r="N18" s="221"/>
      <c r="O18" s="221"/>
      <c r="P18" s="221"/>
    </row>
    <row r="19" spans="1:19" ht="11.45" customHeight="1" x14ac:dyDescent="0.2">
      <c r="E19" s="220" t="s">
        <v>18</v>
      </c>
      <c r="F19" s="220"/>
      <c r="G19" s="28"/>
      <c r="H19" s="28"/>
      <c r="M19" s="220" t="s">
        <v>18</v>
      </c>
      <c r="N19" s="220"/>
    </row>
    <row r="20" spans="1:19" s="4" customFormat="1" ht="11.25" x14ac:dyDescent="0.2">
      <c r="A20" s="11" t="s">
        <v>12</v>
      </c>
      <c r="B20" s="11"/>
      <c r="C20" s="224" t="str">
        <f>C16</f>
        <v/>
      </c>
      <c r="D20" s="226"/>
      <c r="E20" s="225"/>
      <c r="F20" s="224">
        <f ca="1">F16</f>
        <v>1996.2</v>
      </c>
      <c r="G20" s="225"/>
      <c r="H20" s="114"/>
      <c r="I20" s="115">
        <f ca="1">I16</f>
        <v>2369.98</v>
      </c>
      <c r="K20" s="11" t="s">
        <v>12</v>
      </c>
      <c r="L20" s="248"/>
      <c r="M20" s="249"/>
      <c r="N20" s="248"/>
      <c r="O20" s="249"/>
      <c r="P20" s="15"/>
    </row>
    <row r="21" spans="1:19" s="4" customFormat="1" ht="11.25" x14ac:dyDescent="0.2">
      <c r="A21" s="11" t="s">
        <v>66</v>
      </c>
      <c r="B21" s="68">
        <v>70</v>
      </c>
      <c r="C21" s="241" t="str">
        <f>IF(C13="","",VLOOKUP(B21,Data!$H$3:$I$93,2,FALSE))</f>
        <v/>
      </c>
      <c r="D21" s="287"/>
      <c r="E21" s="242"/>
      <c r="F21" s="241">
        <f>VLOOKUP(B21,Data!$H$3:$I$93,2,FALSE)</f>
        <v>469</v>
      </c>
      <c r="G21" s="242"/>
      <c r="H21" s="37">
        <f>VLOOKUP(B21,Data!$H$3:$J$93,3,FALSE)</f>
        <v>1.1639999999999999</v>
      </c>
      <c r="I21" s="38">
        <f>ROUND(F21*H21,2)</f>
        <v>545.91999999999996</v>
      </c>
      <c r="K21" s="11" t="s">
        <v>42</v>
      </c>
      <c r="L21" s="269" t="s">
        <v>53</v>
      </c>
      <c r="M21" s="270"/>
      <c r="N21" s="269" t="s">
        <v>53</v>
      </c>
      <c r="O21" s="270"/>
      <c r="P21" s="16" t="s">
        <v>54</v>
      </c>
    </row>
    <row r="22" spans="1:19" s="4" customFormat="1" ht="11.25" x14ac:dyDescent="0.2">
      <c r="A22" s="11" t="s">
        <v>16</v>
      </c>
      <c r="B22" s="11"/>
      <c r="C22" s="241" t="str">
        <f>IF(OR(F22="",C20=""),"",F22)</f>
        <v/>
      </c>
      <c r="D22" s="287"/>
      <c r="E22" s="242"/>
      <c r="F22" s="250">
        <v>0</v>
      </c>
      <c r="G22" s="251"/>
      <c r="H22" s="37">
        <v>1.04</v>
      </c>
      <c r="I22" s="38">
        <f>IF(F22="","",F22*H22)</f>
        <v>0</v>
      </c>
      <c r="K22" s="11" t="s">
        <v>16</v>
      </c>
      <c r="L22" s="248"/>
      <c r="M22" s="249"/>
      <c r="N22" s="248"/>
      <c r="O22" s="249"/>
      <c r="P22" s="15"/>
    </row>
    <row r="23" spans="1:19" s="4" customFormat="1" ht="12" thickBot="1" x14ac:dyDescent="0.25">
      <c r="A23" s="11" t="s">
        <v>17</v>
      </c>
      <c r="B23" s="11"/>
      <c r="C23" s="245">
        <f>IF(F23="","",F23)</f>
        <v>0</v>
      </c>
      <c r="D23" s="246"/>
      <c r="E23" s="247"/>
      <c r="F23" s="252">
        <v>0</v>
      </c>
      <c r="G23" s="253"/>
      <c r="H23" s="25">
        <v>1.48</v>
      </c>
      <c r="I23" s="9">
        <f>IF(F23="","",F23*H23)</f>
        <v>0</v>
      </c>
      <c r="K23" s="11" t="s">
        <v>17</v>
      </c>
      <c r="L23" s="285" t="s">
        <v>15</v>
      </c>
      <c r="M23" s="286"/>
      <c r="N23" s="285" t="s">
        <v>15</v>
      </c>
      <c r="O23" s="286"/>
      <c r="P23" s="17" t="s">
        <v>15</v>
      </c>
    </row>
    <row r="24" spans="1:19" s="4" customFormat="1" ht="12" thickTop="1" x14ac:dyDescent="0.2">
      <c r="A24" s="11" t="s">
        <v>28</v>
      </c>
      <c r="B24" s="11"/>
      <c r="C24" s="272" t="str">
        <f>IF(C13="","",SUM(C20:E23))</f>
        <v/>
      </c>
      <c r="D24" s="273"/>
      <c r="E24" s="274"/>
      <c r="F24" s="257">
        <f ca="1">SUM(F20:G23)</f>
        <v>2465.1999999999998</v>
      </c>
      <c r="G24" s="258"/>
      <c r="H24" s="112">
        <f ca="1">ROUND(I24*100/F24,1)</f>
        <v>118.3</v>
      </c>
      <c r="I24" s="113">
        <f ca="1">SUM(I20:I23)</f>
        <v>2915.9</v>
      </c>
      <c r="K24" s="11" t="s">
        <v>28</v>
      </c>
      <c r="L24" s="254"/>
      <c r="M24" s="255"/>
      <c r="N24" s="243"/>
      <c r="O24" s="244"/>
      <c r="P24" s="14"/>
    </row>
    <row r="25" spans="1:19" ht="6" customHeight="1" x14ac:dyDescent="0.2"/>
    <row r="26" spans="1:19" ht="2.1" customHeight="1" x14ac:dyDescent="0.2">
      <c r="A26" s="221"/>
      <c r="B26" s="221"/>
      <c r="C26" s="221"/>
      <c r="D26" s="221"/>
      <c r="E26" s="221"/>
      <c r="F26" s="221"/>
      <c r="G26" s="221"/>
      <c r="H26" s="221"/>
      <c r="I26" s="221"/>
      <c r="K26" s="221"/>
      <c r="L26" s="221"/>
      <c r="M26" s="221"/>
      <c r="N26" s="221"/>
      <c r="O26" s="221"/>
      <c r="P26" s="221"/>
    </row>
    <row r="27" spans="1:19" ht="11.45" customHeight="1" x14ac:dyDescent="0.2">
      <c r="E27" s="277" t="s">
        <v>88</v>
      </c>
      <c r="F27" s="277"/>
      <c r="G27" s="67" t="s">
        <v>90</v>
      </c>
      <c r="M27" s="220" t="s">
        <v>41</v>
      </c>
      <c r="N27" s="220"/>
    </row>
    <row r="28" spans="1:19" s="4" customFormat="1" ht="11.25" x14ac:dyDescent="0.2">
      <c r="A28" s="11" t="s">
        <v>12</v>
      </c>
      <c r="B28" s="11"/>
      <c r="C28" s="259"/>
      <c r="D28" s="260"/>
      <c r="E28" s="261"/>
      <c r="F28" s="275" t="str">
        <f>IF(G27="Yes",F16,"")</f>
        <v/>
      </c>
      <c r="G28" s="276"/>
      <c r="H28" s="39"/>
      <c r="I28" s="40" t="str">
        <f>IF(G27="Yes",I16,"")</f>
        <v/>
      </c>
      <c r="K28" s="11" t="s">
        <v>12</v>
      </c>
      <c r="L28" s="259"/>
      <c r="M28" s="261"/>
      <c r="N28" s="248"/>
      <c r="O28" s="249"/>
      <c r="P28" s="15"/>
    </row>
    <row r="29" spans="1:19" s="4" customFormat="1" ht="11.25" x14ac:dyDescent="0.2">
      <c r="A29" s="3" t="s">
        <v>19</v>
      </c>
      <c r="B29" s="68">
        <v>50</v>
      </c>
      <c r="C29" s="259"/>
      <c r="D29" s="260"/>
      <c r="E29" s="261"/>
      <c r="F29" s="275" t="str">
        <f>IF(G27="Yes",VLOOKUP(B29,Data!$H$3:$I$93,2,FALSE),"")</f>
        <v/>
      </c>
      <c r="G29" s="276"/>
      <c r="H29" s="37">
        <f>VLOOKUP(B29,Data!$H$3:$J$93,3,FALSE)</f>
        <v>1.1379999999999999</v>
      </c>
      <c r="I29" s="40" t="str">
        <f>IF(G27="Yes",ROUND(F29*H29,2),"")</f>
        <v/>
      </c>
      <c r="K29" s="3" t="s">
        <v>19</v>
      </c>
      <c r="L29" s="259"/>
      <c r="M29" s="261"/>
      <c r="N29" s="248"/>
      <c r="O29" s="249"/>
      <c r="P29" s="15"/>
    </row>
    <row r="30" spans="1:19" s="4" customFormat="1" ht="12" thickBot="1" x14ac:dyDescent="0.25">
      <c r="A30" s="3" t="s">
        <v>20</v>
      </c>
      <c r="B30" s="3"/>
      <c r="C30" s="259"/>
      <c r="D30" s="260"/>
      <c r="E30" s="261"/>
      <c r="F30" s="275" t="str">
        <f>IF(G27="Yes",IF(F22="","",F22),"")</f>
        <v/>
      </c>
      <c r="G30" s="276"/>
      <c r="H30" s="39">
        <f>H22</f>
        <v>1.04</v>
      </c>
      <c r="I30" s="40" t="str">
        <f>IF(G27="Yes",IF(F30="","",F30*H30),"")</f>
        <v/>
      </c>
      <c r="K30" s="3" t="s">
        <v>20</v>
      </c>
      <c r="L30" s="259"/>
      <c r="M30" s="261"/>
      <c r="N30" s="265"/>
      <c r="O30" s="266"/>
      <c r="P30" s="18"/>
    </row>
    <row r="31" spans="1:19" s="4" customFormat="1" ht="12" thickBot="1" x14ac:dyDescent="0.25">
      <c r="A31" s="3" t="s">
        <v>21</v>
      </c>
      <c r="B31" s="3"/>
      <c r="C31" s="278"/>
      <c r="D31" s="292"/>
      <c r="E31" s="279"/>
      <c r="F31" s="280">
        <v>150</v>
      </c>
      <c r="G31" s="281"/>
      <c r="H31" s="41">
        <v>1.1033299999999999</v>
      </c>
      <c r="I31" s="58" t="str">
        <f>IF(G27="Yes",IF(F31="","",ROUND(F31*H31,2)),"")</f>
        <v/>
      </c>
      <c r="K31" s="3" t="s">
        <v>21</v>
      </c>
      <c r="L31" s="278"/>
      <c r="M31" s="279"/>
      <c r="N31" s="267" t="s">
        <v>37</v>
      </c>
      <c r="O31" s="268"/>
      <c r="P31" s="95" t="s">
        <v>38</v>
      </c>
      <c r="Q31" s="97" t="s">
        <v>305</v>
      </c>
      <c r="R31" s="98" t="str">
        <f ca="1">IF(AND(x&gt;2500,Data!$Y$11&lt;5),"No","Yes @ "&amp;ROUND((2900-F16)/6.7,0)&amp;" gals")</f>
        <v>Yes @ 135 gals</v>
      </c>
      <c r="S31" s="99"/>
    </row>
    <row r="32" spans="1:19" s="4" customFormat="1" thickTop="1" thickBot="1" x14ac:dyDescent="0.25">
      <c r="A32" s="3" t="s">
        <v>29</v>
      </c>
      <c r="B32" s="3"/>
      <c r="C32" s="243"/>
      <c r="D32" s="256"/>
      <c r="E32" s="244"/>
      <c r="F32" s="290" t="str">
        <f>IF(G27="Yes",SUM(F28:G31),"")</f>
        <v/>
      </c>
      <c r="G32" s="291"/>
      <c r="H32" s="42" t="str">
        <f>IF(AND(NOT(F32=""),NOT(I32="")),ROUND(I32*100/F32,1),"")</f>
        <v/>
      </c>
      <c r="I32" s="36" t="str">
        <f>IF(G27="Yes",SUM(I28:I31),"")</f>
        <v/>
      </c>
      <c r="K32" s="3" t="s">
        <v>29</v>
      </c>
      <c r="L32" s="243"/>
      <c r="M32" s="244"/>
      <c r="N32" s="243"/>
      <c r="O32" s="244"/>
      <c r="P32" s="96"/>
      <c r="Q32" s="100" t="s">
        <v>307</v>
      </c>
      <c r="R32" s="214" t="str">
        <f ca="1">IF(AND(OR($C$6="B",$D$6&gt;139),LEFT($R$31,3)="Yes"),"Yes @ 45 Gals", IF(x&lt;2000,"Yes @ 40 Gals","No, DA &gt;= 2000 ft"))</f>
        <v>Yes @ 45 Gals</v>
      </c>
      <c r="S32" s="215"/>
    </row>
    <row r="33" spans="1:23" ht="6" customHeight="1" x14ac:dyDescent="0.2"/>
    <row r="34" spans="1:23" ht="2.1" customHeight="1" x14ac:dyDescent="0.2">
      <c r="A34" s="221"/>
      <c r="B34" s="221"/>
      <c r="C34" s="221"/>
      <c r="D34" s="221"/>
      <c r="E34" s="221"/>
      <c r="F34" s="221"/>
      <c r="G34" s="221"/>
      <c r="H34" s="221"/>
      <c r="I34" s="221"/>
      <c r="K34" s="221"/>
      <c r="L34" s="221"/>
      <c r="M34" s="221"/>
      <c r="N34" s="221"/>
      <c r="O34" s="221"/>
      <c r="P34" s="221"/>
    </row>
    <row r="35" spans="1:23" ht="11.45" customHeight="1" x14ac:dyDescent="0.2">
      <c r="E35" s="220" t="s">
        <v>22</v>
      </c>
      <c r="F35" s="220"/>
      <c r="M35" s="220" t="s">
        <v>22</v>
      </c>
      <c r="N35" s="220"/>
    </row>
    <row r="36" spans="1:23" s="4" customFormat="1" ht="12" thickBot="1" x14ac:dyDescent="0.25">
      <c r="A36" s="11" t="s">
        <v>12</v>
      </c>
      <c r="B36" s="11"/>
      <c r="C36" s="259"/>
      <c r="D36" s="260"/>
      <c r="E36" s="261"/>
      <c r="F36" s="224">
        <f ca="1">F16</f>
        <v>1996.2</v>
      </c>
      <c r="G36" s="225"/>
      <c r="H36" s="114"/>
      <c r="I36" s="115">
        <f ca="1">I16</f>
        <v>2369.98</v>
      </c>
      <c r="K36" s="11" t="s">
        <v>12</v>
      </c>
      <c r="L36" s="259"/>
      <c r="M36" s="261"/>
      <c r="N36" s="248"/>
      <c r="O36" s="249"/>
      <c r="P36" s="15"/>
    </row>
    <row r="37" spans="1:23" s="4" customFormat="1" ht="11.25" x14ac:dyDescent="0.2">
      <c r="A37" s="3" t="s">
        <v>81</v>
      </c>
      <c r="B37" s="68">
        <v>10</v>
      </c>
      <c r="C37" s="259"/>
      <c r="D37" s="260"/>
      <c r="E37" s="261"/>
      <c r="F37" s="241">
        <f>VLOOKUP(B37,Data!$H$3:$I$93,2,FALSE)</f>
        <v>67</v>
      </c>
      <c r="G37" s="242"/>
      <c r="H37" s="37">
        <f>VLOOKUP(B37,Data!$H$3:$J$93,3,FALSE)</f>
        <v>1.107</v>
      </c>
      <c r="I37" s="38">
        <f>ROUND(F37*H37,2)</f>
        <v>74.17</v>
      </c>
      <c r="K37" s="3" t="s">
        <v>23</v>
      </c>
      <c r="L37" s="259"/>
      <c r="M37" s="261"/>
      <c r="N37" s="269" t="s">
        <v>52</v>
      </c>
      <c r="O37" s="270"/>
      <c r="P37" s="16" t="s">
        <v>51</v>
      </c>
      <c r="U37" s="105" t="s">
        <v>333</v>
      </c>
      <c r="V37" s="119" t="s">
        <v>68</v>
      </c>
      <c r="W37" s="106" t="s">
        <v>69</v>
      </c>
    </row>
    <row r="38" spans="1:23" s="4" customFormat="1" ht="11.25" x14ac:dyDescent="0.2">
      <c r="A38" s="11" t="s">
        <v>16</v>
      </c>
      <c r="B38" s="11"/>
      <c r="C38" s="259"/>
      <c r="D38" s="260"/>
      <c r="E38" s="261"/>
      <c r="F38" s="230">
        <f>IF(F22="","",F22)</f>
        <v>0</v>
      </c>
      <c r="G38" s="232"/>
      <c r="H38" s="25">
        <f>H22</f>
        <v>1.04</v>
      </c>
      <c r="I38" s="38">
        <f>IF(F38="","",F38*H38)</f>
        <v>0</v>
      </c>
      <c r="K38" s="11" t="s">
        <v>16</v>
      </c>
      <c r="L38" s="259"/>
      <c r="M38" s="261"/>
      <c r="N38" s="254"/>
      <c r="O38" s="255"/>
      <c r="P38" s="17"/>
      <c r="U38" s="107" t="s">
        <v>330</v>
      </c>
      <c r="V38" s="120" t="str">
        <f ca="1">VLOOKUP(Data!$H$114,Data!$B$75:$C$115,2,FALSE)</f>
        <v>168</v>
      </c>
      <c r="W38" s="121" t="str">
        <f ca="1">VLOOKUP(Data!$H$114,Data!$B$3:$C$74,2,FALSE)</f>
        <v>67</v>
      </c>
    </row>
    <row r="39" spans="1:23" s="4" customFormat="1" ht="12" thickBot="1" x14ac:dyDescent="0.25">
      <c r="A39" s="11" t="s">
        <v>17</v>
      </c>
      <c r="B39" s="11"/>
      <c r="C39" s="262"/>
      <c r="D39" s="263"/>
      <c r="E39" s="264"/>
      <c r="F39" s="222">
        <f>IF(F23="","",F23)</f>
        <v>0</v>
      </c>
      <c r="G39" s="223"/>
      <c r="H39" s="35">
        <f>H23</f>
        <v>1.48</v>
      </c>
      <c r="I39" s="32">
        <f>IF(F39="","",F23*H39)</f>
        <v>0</v>
      </c>
      <c r="K39" s="11" t="s">
        <v>17</v>
      </c>
      <c r="L39" s="262"/>
      <c r="M39" s="264"/>
      <c r="N39" s="288" t="s">
        <v>15</v>
      </c>
      <c r="O39" s="289"/>
      <c r="P39" s="23" t="s">
        <v>15</v>
      </c>
      <c r="U39" s="108" t="s">
        <v>331</v>
      </c>
      <c r="V39" s="122" t="str">
        <f ca="1">VLOOKUP(Data!$H$115,Data!$B$75:$C$116,2,FALSE)</f>
        <v>146</v>
      </c>
      <c r="W39" s="123" t="str">
        <f ca="1">VLOOKUP(Data!$H$115,Data!$B$3:$C$74,2,FALSE)</f>
        <v>90</v>
      </c>
    </row>
    <row r="40" spans="1:23" s="4" customFormat="1" thickTop="1" thickBot="1" x14ac:dyDescent="0.25">
      <c r="A40" s="3" t="s">
        <v>30</v>
      </c>
      <c r="B40" s="3"/>
      <c r="C40" s="243"/>
      <c r="D40" s="256"/>
      <c r="E40" s="244"/>
      <c r="F40" s="257">
        <f ca="1">SUM(F36:G39)</f>
        <v>2063.1999999999998</v>
      </c>
      <c r="G40" s="258"/>
      <c r="H40" s="112">
        <f ca="1">ROUND(I40*100/F40,1)</f>
        <v>118.5</v>
      </c>
      <c r="I40" s="113">
        <f ca="1">SUM(I36:I39)</f>
        <v>2444.15</v>
      </c>
      <c r="K40" s="3" t="s">
        <v>30</v>
      </c>
      <c r="L40" s="243"/>
      <c r="M40" s="244"/>
      <c r="N40" s="243"/>
      <c r="O40" s="244"/>
      <c r="P40" s="14"/>
      <c r="U40" s="109" t="s">
        <v>332</v>
      </c>
      <c r="V40" s="124" t="str">
        <f ca="1">VLOOKUP(Data!$H$116,Data!$B$75:$C$116,2,FALSE)</f>
        <v>165</v>
      </c>
      <c r="W40" s="125" t="str">
        <f ca="1">VLOOKUP(Data!$H$116,Data!$B$3:$C$74,2,FALSE)</f>
        <v>131</v>
      </c>
    </row>
    <row r="41" spans="1:23" ht="6" customHeight="1" x14ac:dyDescent="0.2"/>
    <row r="42" spans="1:23" ht="2.1" customHeight="1" x14ac:dyDescent="0.2">
      <c r="A42" s="221"/>
      <c r="B42" s="221"/>
      <c r="C42" s="221"/>
      <c r="D42" s="221"/>
      <c r="E42" s="221"/>
      <c r="F42" s="221"/>
      <c r="G42" s="221"/>
      <c r="H42" s="221"/>
      <c r="I42" s="221"/>
      <c r="K42" s="221"/>
      <c r="L42" s="221"/>
      <c r="M42" s="221"/>
      <c r="N42" s="221"/>
      <c r="O42" s="221"/>
      <c r="P42" s="221"/>
    </row>
    <row r="43" spans="1:23" ht="6" customHeight="1" x14ac:dyDescent="0.2"/>
    <row r="44" spans="1:23" s="4" customFormat="1" ht="11.25" x14ac:dyDescent="0.2">
      <c r="A44" s="4" t="s">
        <v>46</v>
      </c>
      <c r="I44" s="118">
        <f ca="1">MAX(F24,F32)</f>
        <v>2465.1999999999998</v>
      </c>
      <c r="K44" s="4" t="s">
        <v>46</v>
      </c>
      <c r="P44" s="7"/>
    </row>
    <row r="45" spans="1:23" s="4" customFormat="1" ht="11.25" x14ac:dyDescent="0.2">
      <c r="A45" s="4" t="s">
        <v>167</v>
      </c>
      <c r="F45" s="24">
        <f>IF(OR(AND($D$6&gt;139,NOT($D$6="Side #"),$D$6=""),$C$6="B"),106,106.75)</f>
        <v>106</v>
      </c>
      <c r="G45" s="19" t="s">
        <v>166</v>
      </c>
      <c r="I45" s="19" t="str">
        <f ca="1">'CG Envelope'!E25&amp;IF(OR('CG Envelope'!E25&gt;'CG Envelope'!E27,G27="No"),""," / "&amp;'CG Envelope'!E27&amp;" (external)")</f>
        <v>113.82</v>
      </c>
      <c r="K45" s="4" t="s">
        <v>31</v>
      </c>
      <c r="P45" s="7"/>
    </row>
    <row r="46" spans="1:23" s="4" customFormat="1" ht="11.25" x14ac:dyDescent="0.2">
      <c r="A46" s="4" t="s">
        <v>152</v>
      </c>
      <c r="I46" s="19">
        <f ca="1">IF(AND(F32="",I32=""),H24,H32)</f>
        <v>118.3</v>
      </c>
      <c r="K46" s="4" t="s">
        <v>24</v>
      </c>
      <c r="P46" s="7"/>
    </row>
    <row r="47" spans="1:23" s="4" customFormat="1" ht="11.25" x14ac:dyDescent="0.2">
      <c r="A47" s="4" t="s">
        <v>32</v>
      </c>
      <c r="I47" s="118">
        <f ca="1">F40</f>
        <v>2063.1999999999998</v>
      </c>
      <c r="K47" s="4" t="s">
        <v>32</v>
      </c>
      <c r="P47" s="7"/>
    </row>
    <row r="48" spans="1:23" s="4" customFormat="1" ht="11.25" x14ac:dyDescent="0.2">
      <c r="A48" s="4" t="s">
        <v>165</v>
      </c>
      <c r="F48" s="24">
        <f>IF(OR(AND($D$6&gt;139,NOT($D$6="Side #"),$D$6=""),$C$6="B"),106,106.75)</f>
        <v>106</v>
      </c>
      <c r="G48" s="19" t="s">
        <v>166</v>
      </c>
      <c r="H48" s="7"/>
      <c r="I48" s="19">
        <f ca="1">'CG Envelope'!E29</f>
        <v>114.2</v>
      </c>
      <c r="K48" s="4" t="s">
        <v>33</v>
      </c>
      <c r="P48" s="7"/>
    </row>
    <row r="49" spans="1:16" s="4" customFormat="1" ht="11.25" x14ac:dyDescent="0.2">
      <c r="A49" s="4" t="s">
        <v>25</v>
      </c>
      <c r="I49" s="19">
        <f ca="1">H40</f>
        <v>118.5</v>
      </c>
      <c r="K49" s="4" t="s">
        <v>25</v>
      </c>
      <c r="P49" s="7"/>
    </row>
    <row r="50" spans="1:16" ht="6" customHeight="1" x14ac:dyDescent="0.2">
      <c r="I50" s="43"/>
    </row>
    <row r="51" spans="1:16" ht="2.1" customHeight="1" x14ac:dyDescent="0.2">
      <c r="A51" s="221"/>
      <c r="B51" s="221"/>
      <c r="C51" s="221"/>
      <c r="D51" s="221"/>
      <c r="E51" s="221"/>
      <c r="F51" s="221"/>
      <c r="G51" s="221"/>
      <c r="H51" s="221"/>
      <c r="I51" s="221"/>
      <c r="K51" s="221"/>
      <c r="L51" s="221"/>
      <c r="M51" s="221"/>
      <c r="N51" s="221"/>
      <c r="O51" s="221"/>
      <c r="P51" s="221"/>
    </row>
    <row r="52" spans="1:16" ht="6" customHeight="1" x14ac:dyDescent="0.2"/>
    <row r="53" spans="1:16" s="4" customFormat="1" ht="11.25" x14ac:dyDescent="0.2">
      <c r="A53" s="4" t="s">
        <v>149</v>
      </c>
      <c r="I53" s="19" t="str">
        <f ca="1">IF(HGW&gt;PA_DA_HIGE_HOGE!$AM$23,"&gt;","")&amp;ROUND(LARGE(PA_DA_HIGE_HOGE!AV23:AV30,1),0)&amp;"/"&amp;IF(HGW&gt;PA_DA_HIGE_HOGE!$AM$23,"&gt;","")&amp;ROUND(MAX(PA_DA_HIGE_HOGE!AU23:AU30),0)&amp;IF(G27="Yes"," (w/ external)","")</f>
        <v>62/67</v>
      </c>
      <c r="K53" s="4" t="s">
        <v>47</v>
      </c>
      <c r="P53" s="19" t="s">
        <v>39</v>
      </c>
    </row>
    <row r="54" spans="1:16" s="4" customFormat="1" ht="11.25" x14ac:dyDescent="0.2">
      <c r="A54" s="297" t="s">
        <v>153</v>
      </c>
      <c r="B54" s="297"/>
      <c r="C54" s="297"/>
      <c r="D54" s="62">
        <v>2900</v>
      </c>
      <c r="E54" s="297" t="s">
        <v>328</v>
      </c>
      <c r="F54" s="297"/>
      <c r="G54" s="297"/>
      <c r="I54" s="19" t="str">
        <f ca="1">ROUND((2900-F16)/6.7,0)&amp;" gal"</f>
        <v>135 gal</v>
      </c>
      <c r="K54" s="4" t="s">
        <v>49</v>
      </c>
      <c r="P54" s="24" t="s">
        <v>50</v>
      </c>
    </row>
    <row r="55" spans="1:16" ht="6" customHeight="1" x14ac:dyDescent="0.2"/>
    <row r="56" spans="1:16" ht="2.1" customHeight="1" x14ac:dyDescent="0.2">
      <c r="A56" s="221"/>
      <c r="B56" s="221"/>
      <c r="C56" s="221"/>
      <c r="D56" s="221"/>
      <c r="E56" s="221"/>
      <c r="F56" s="221"/>
      <c r="G56" s="221"/>
      <c r="H56" s="221"/>
      <c r="I56" s="221"/>
      <c r="K56" s="221"/>
      <c r="L56" s="221"/>
      <c r="M56" s="221"/>
      <c r="N56" s="221"/>
      <c r="O56" s="221"/>
      <c r="P56" s="221"/>
    </row>
    <row r="57" spans="1:16" ht="6" customHeight="1" x14ac:dyDescent="0.2"/>
    <row r="58" spans="1:16" s="4" customFormat="1" ht="11.25" x14ac:dyDescent="0.2">
      <c r="A58" s="4" t="s">
        <v>26</v>
      </c>
      <c r="E58" s="7"/>
      <c r="F58" s="271"/>
      <c r="G58" s="271"/>
      <c r="H58" s="271"/>
      <c r="I58" s="271"/>
      <c r="K58" s="4" t="s">
        <v>26</v>
      </c>
      <c r="M58" s="7"/>
      <c r="N58" s="271"/>
      <c r="O58" s="271"/>
      <c r="P58" s="271"/>
    </row>
    <row r="59" spans="1:16" s="4" customFormat="1" ht="11.25" x14ac:dyDescent="0.2">
      <c r="A59" s="4" t="s">
        <v>27</v>
      </c>
      <c r="E59" s="7"/>
      <c r="F59" s="271"/>
      <c r="G59" s="271"/>
      <c r="H59" s="271"/>
      <c r="I59" s="271"/>
      <c r="K59" s="4" t="s">
        <v>27</v>
      </c>
      <c r="M59" s="7"/>
      <c r="N59" s="271"/>
      <c r="O59" s="271"/>
      <c r="P59" s="271"/>
    </row>
    <row r="60" spans="1:16" s="4" customFormat="1" ht="11.25" x14ac:dyDescent="0.2">
      <c r="A60" s="103" t="s">
        <v>329</v>
      </c>
    </row>
    <row r="61" spans="1:16" s="4" customFormat="1" ht="11.25" x14ac:dyDescent="0.2">
      <c r="A61" s="104">
        <f>Data!$Q$2</f>
        <v>45345</v>
      </c>
      <c r="B61" s="21"/>
      <c r="E61" s="4" t="s">
        <v>361</v>
      </c>
      <c r="K61" s="21" t="s">
        <v>385</v>
      </c>
      <c r="M61" s="4" t="s">
        <v>48</v>
      </c>
    </row>
    <row r="62" spans="1:16" x14ac:dyDescent="0.2">
      <c r="I62" s="20"/>
      <c r="P62" s="20"/>
    </row>
    <row r="68" spans="1:9" x14ac:dyDescent="0.2">
      <c r="D68" s="311" t="s">
        <v>358</v>
      </c>
      <c r="E68" s="311"/>
      <c r="F68" s="311"/>
    </row>
    <row r="70" spans="1:9" x14ac:dyDescent="0.2">
      <c r="D70" s="312" t="s">
        <v>359</v>
      </c>
      <c r="E70" s="313"/>
      <c r="F70" s="313"/>
    </row>
    <row r="72" spans="1:9" ht="13.5" thickBot="1" x14ac:dyDescent="0.25">
      <c r="C72" s="314" t="s">
        <v>360</v>
      </c>
      <c r="D72" s="314"/>
      <c r="E72" s="314"/>
      <c r="F72" s="314"/>
      <c r="G72" s="314"/>
    </row>
    <row r="73" spans="1:9" ht="13.5" thickBot="1" x14ac:dyDescent="0.25">
      <c r="A73" s="316" t="s">
        <v>356</v>
      </c>
      <c r="B73" s="317"/>
      <c r="C73" s="317"/>
      <c r="D73" s="317"/>
      <c r="E73" s="317"/>
      <c r="F73" s="318"/>
      <c r="G73" s="319" t="s">
        <v>357</v>
      </c>
      <c r="H73" s="319"/>
      <c r="I73" s="319"/>
    </row>
    <row r="74" spans="1:9" ht="16.5" customHeight="1" x14ac:dyDescent="0.2">
      <c r="A74" s="302" t="s">
        <v>337</v>
      </c>
      <c r="B74" s="299"/>
      <c r="C74" s="299"/>
      <c r="D74" s="299"/>
      <c r="E74" s="299"/>
      <c r="F74" s="299"/>
      <c r="G74" s="300"/>
      <c r="H74" s="300"/>
      <c r="I74" s="301"/>
    </row>
    <row r="75" spans="1:9" ht="10.5" customHeight="1" x14ac:dyDescent="0.2">
      <c r="A75" s="139" t="s">
        <v>334</v>
      </c>
      <c r="B75" s="127"/>
      <c r="C75" s="127"/>
      <c r="D75" s="127"/>
      <c r="E75" s="127"/>
      <c r="F75" s="142" t="s">
        <v>365</v>
      </c>
      <c r="G75" s="293" t="s">
        <v>338</v>
      </c>
      <c r="H75" s="293"/>
      <c r="I75" s="294"/>
    </row>
    <row r="76" spans="1:9" ht="9.75" customHeight="1" thickBot="1" x14ac:dyDescent="0.25">
      <c r="A76" s="140" t="s">
        <v>335</v>
      </c>
      <c r="B76" s="141"/>
      <c r="C76" s="141"/>
      <c r="D76" s="141"/>
      <c r="E76" s="141"/>
      <c r="F76" s="143" t="s">
        <v>365</v>
      </c>
      <c r="G76" s="309" t="s">
        <v>338</v>
      </c>
      <c r="H76" s="309"/>
      <c r="I76" s="310"/>
    </row>
    <row r="77" spans="1:9" ht="3" customHeight="1" thickBot="1" x14ac:dyDescent="0.25"/>
    <row r="78" spans="1:9" ht="10.5" customHeight="1" x14ac:dyDescent="0.2">
      <c r="A78" s="298" t="s">
        <v>336</v>
      </c>
      <c r="B78" s="299"/>
      <c r="C78" s="299"/>
      <c r="D78" s="299"/>
      <c r="E78" s="299"/>
      <c r="F78" s="299"/>
      <c r="G78" s="300"/>
      <c r="H78" s="300"/>
      <c r="I78" s="301"/>
    </row>
    <row r="79" spans="1:9" ht="9" customHeight="1" x14ac:dyDescent="0.2">
      <c r="A79" s="139" t="s">
        <v>334</v>
      </c>
      <c r="B79" s="127"/>
      <c r="C79" s="127"/>
      <c r="D79" s="127"/>
      <c r="E79" s="127"/>
      <c r="F79" s="142" t="s">
        <v>365</v>
      </c>
      <c r="G79" s="293" t="s">
        <v>338</v>
      </c>
      <c r="H79" s="293"/>
      <c r="I79" s="294"/>
    </row>
    <row r="80" spans="1:9" ht="10.5" customHeight="1" thickBot="1" x14ac:dyDescent="0.25">
      <c r="A80" s="140" t="s">
        <v>335</v>
      </c>
      <c r="B80" s="141"/>
      <c r="C80" s="141"/>
      <c r="D80" s="141"/>
      <c r="E80" s="141"/>
      <c r="F80" s="143" t="s">
        <v>365</v>
      </c>
      <c r="G80" s="309" t="s">
        <v>338</v>
      </c>
      <c r="H80" s="309"/>
      <c r="I80" s="310"/>
    </row>
    <row r="81" spans="1:9" ht="3" customHeight="1" thickBot="1" x14ac:dyDescent="0.25"/>
    <row r="82" spans="1:9" ht="9.75" customHeight="1" x14ac:dyDescent="0.2">
      <c r="A82" s="298" t="s">
        <v>341</v>
      </c>
      <c r="B82" s="299"/>
      <c r="C82" s="299"/>
      <c r="D82" s="299"/>
      <c r="E82" s="299"/>
      <c r="F82" s="299"/>
      <c r="G82" s="69"/>
      <c r="H82" s="69"/>
      <c r="I82" s="56"/>
    </row>
    <row r="83" spans="1:9" ht="9" customHeight="1" x14ac:dyDescent="0.2">
      <c r="A83" s="132" t="s">
        <v>345</v>
      </c>
      <c r="B83" s="133"/>
      <c r="C83" s="133"/>
      <c r="D83" s="133" t="s">
        <v>343</v>
      </c>
      <c r="E83" s="133" t="s">
        <v>344</v>
      </c>
      <c r="F83" s="133"/>
      <c r="I83" s="45"/>
    </row>
    <row r="84" spans="1:9" ht="26.25" customHeight="1" x14ac:dyDescent="0.2">
      <c r="A84" s="134" t="s">
        <v>346</v>
      </c>
      <c r="B84" s="127"/>
      <c r="C84" s="127"/>
      <c r="D84" s="144">
        <v>1200</v>
      </c>
      <c r="E84" s="144">
        <v>5</v>
      </c>
      <c r="F84" s="128"/>
      <c r="G84" s="321" t="str">
        <f>IF(OR(E84&gt;3,E84=3),IF(AND(D84&lt;1000,NOT(D84="")),IF(D84&lt;500,"HIGH","MEDIUM"),"LOW"),IF(E84&lt;1,"HIGH","MEDIUM"))</f>
        <v>LOW</v>
      </c>
      <c r="H84" s="321"/>
      <c r="I84" s="322"/>
    </row>
    <row r="85" spans="1:9" ht="10.5" customHeight="1" x14ac:dyDescent="0.2">
      <c r="A85" s="135" t="s">
        <v>347</v>
      </c>
      <c r="B85" s="136"/>
      <c r="C85" s="136"/>
      <c r="D85" s="136" t="s">
        <v>349</v>
      </c>
      <c r="E85" s="136" t="s">
        <v>350</v>
      </c>
      <c r="G85" s="133"/>
      <c r="I85" s="45"/>
    </row>
    <row r="86" spans="1:9" ht="25.5" customHeight="1" x14ac:dyDescent="0.2">
      <c r="A86" s="303" t="s">
        <v>348</v>
      </c>
      <c r="B86" s="304"/>
      <c r="C86" s="304"/>
      <c r="D86" s="129" t="str">
        <f>Data!Y11</f>
        <v/>
      </c>
      <c r="E86" s="129" t="str">
        <f>Data!Z11</f>
        <v/>
      </c>
      <c r="F86" s="130"/>
      <c r="G86" s="321" t="e">
        <f>IF(Data!Y12-Data!Y11&gt;4.99,"LOW",IF(Data!Y12-Data!Y11&gt;0,"MEDIUM","HIGH"))</f>
        <v>#VALUE!</v>
      </c>
      <c r="H86" s="321"/>
      <c r="I86" s="322"/>
    </row>
    <row r="87" spans="1:9" ht="11.25" customHeight="1" thickBot="1" x14ac:dyDescent="0.25">
      <c r="A87" s="305" t="s">
        <v>342</v>
      </c>
      <c r="B87" s="306"/>
      <c r="C87" s="306"/>
      <c r="D87" s="145" t="s">
        <v>366</v>
      </c>
      <c r="E87" s="137"/>
      <c r="F87" s="138"/>
      <c r="G87" s="323" t="str">
        <f>IF(D87="YES","MEDIUM",IF(D87="NO","LOW",""))</f>
        <v>LOW</v>
      </c>
      <c r="H87" s="323"/>
      <c r="I87" s="324"/>
    </row>
    <row r="88" spans="1:9" s="126" customFormat="1" ht="5.25" customHeight="1" thickBot="1" x14ac:dyDescent="0.25">
      <c r="A88"/>
      <c r="B88"/>
      <c r="C88"/>
      <c r="D88"/>
      <c r="E88"/>
      <c r="F88"/>
      <c r="G88"/>
      <c r="H88"/>
      <c r="I88"/>
    </row>
    <row r="89" spans="1:9" ht="9.75" customHeight="1" x14ac:dyDescent="0.2">
      <c r="A89" s="298" t="s">
        <v>351</v>
      </c>
      <c r="B89" s="299"/>
      <c r="C89" s="299"/>
      <c r="D89" s="299"/>
      <c r="E89" s="299"/>
      <c r="F89" s="299"/>
      <c r="G89" s="69"/>
      <c r="H89" s="69"/>
      <c r="I89" s="56"/>
    </row>
    <row r="90" spans="1:9" ht="9.75" customHeight="1" x14ac:dyDescent="0.2">
      <c r="A90" s="307" t="s">
        <v>342</v>
      </c>
      <c r="B90" s="308"/>
      <c r="C90" s="308"/>
      <c r="D90" s="144" t="s">
        <v>366</v>
      </c>
      <c r="E90" s="131"/>
      <c r="F90" s="128"/>
      <c r="G90" s="321" t="str">
        <f>IF(D90="YES","MEDIUM",IF(D90="NO","LOW",""))</f>
        <v>LOW</v>
      </c>
      <c r="H90" s="321"/>
      <c r="I90" s="322"/>
    </row>
    <row r="91" spans="1:9" ht="9" customHeight="1" thickBot="1" x14ac:dyDescent="0.25">
      <c r="A91" s="305" t="s">
        <v>352</v>
      </c>
      <c r="B91" s="306"/>
      <c r="C91" s="306"/>
      <c r="D91" s="320" t="s">
        <v>383</v>
      </c>
      <c r="E91" s="320"/>
      <c r="F91" s="138"/>
      <c r="G91" s="323" t="s">
        <v>338</v>
      </c>
      <c r="H91" s="323"/>
      <c r="I91" s="324"/>
    </row>
    <row r="92" spans="1:9" ht="4.5" customHeight="1" thickBot="1" x14ac:dyDescent="0.25"/>
    <row r="93" spans="1:9" ht="9" customHeight="1" x14ac:dyDescent="0.2">
      <c r="A93" s="298" t="s">
        <v>353</v>
      </c>
      <c r="B93" s="299"/>
      <c r="C93" s="299"/>
      <c r="D93" s="299"/>
      <c r="E93" s="299"/>
      <c r="F93" s="299"/>
      <c r="G93" s="69"/>
      <c r="H93" s="69"/>
      <c r="I93" s="56"/>
    </row>
    <row r="94" spans="1:9" ht="10.5" customHeight="1" x14ac:dyDescent="0.2">
      <c r="A94" s="139" t="s">
        <v>334</v>
      </c>
      <c r="B94" s="127"/>
      <c r="C94" s="127"/>
      <c r="D94" s="127"/>
      <c r="E94" s="127"/>
      <c r="F94" s="142" t="s">
        <v>365</v>
      </c>
      <c r="G94" s="293" t="s">
        <v>338</v>
      </c>
      <c r="H94" s="293"/>
      <c r="I94" s="294"/>
    </row>
    <row r="95" spans="1:9" ht="9.75" customHeight="1" thickBot="1" x14ac:dyDescent="0.25">
      <c r="A95" s="140" t="s">
        <v>354</v>
      </c>
      <c r="B95" s="141"/>
      <c r="C95" s="141"/>
      <c r="D95" s="141"/>
      <c r="E95" s="141"/>
      <c r="F95" s="143" t="s">
        <v>365</v>
      </c>
      <c r="G95" s="309" t="s">
        <v>338</v>
      </c>
      <c r="H95" s="309"/>
      <c r="I95" s="310"/>
    </row>
    <row r="96" spans="1:9" ht="3.75" customHeight="1" thickBot="1" x14ac:dyDescent="0.25"/>
    <row r="97" spans="1:9" ht="10.5" customHeight="1" x14ac:dyDescent="0.2">
      <c r="A97" s="298" t="s">
        <v>355</v>
      </c>
      <c r="B97" s="299"/>
      <c r="C97" s="299"/>
      <c r="D97" s="299"/>
      <c r="E97" s="299"/>
      <c r="F97" s="299"/>
      <c r="G97" s="69"/>
      <c r="H97" s="69"/>
      <c r="I97" s="56"/>
    </row>
    <row r="98" spans="1:9" ht="9" customHeight="1" x14ac:dyDescent="0.2">
      <c r="A98" s="139" t="s">
        <v>334</v>
      </c>
      <c r="B98" s="127"/>
      <c r="C98" s="127"/>
      <c r="D98" s="127"/>
      <c r="E98" s="127"/>
      <c r="F98" s="142" t="s">
        <v>365</v>
      </c>
      <c r="G98" s="293" t="s">
        <v>338</v>
      </c>
      <c r="H98" s="293"/>
      <c r="I98" s="294"/>
    </row>
    <row r="99" spans="1:9" ht="9.75" customHeight="1" thickBot="1" x14ac:dyDescent="0.25">
      <c r="A99" s="140" t="s">
        <v>354</v>
      </c>
      <c r="B99" s="141"/>
      <c r="C99" s="141"/>
      <c r="D99" s="141"/>
      <c r="E99" s="141"/>
      <c r="F99" s="143" t="s">
        <v>365</v>
      </c>
      <c r="G99" s="309" t="s">
        <v>338</v>
      </c>
      <c r="H99" s="309"/>
      <c r="I99" s="310"/>
    </row>
    <row r="100" spans="1:9" ht="3" customHeight="1" x14ac:dyDescent="0.2"/>
    <row r="101" spans="1:9" ht="12.75" customHeight="1" x14ac:dyDescent="0.2">
      <c r="A101" s="315" t="s">
        <v>362</v>
      </c>
      <c r="B101" s="315"/>
      <c r="C101" s="315"/>
      <c r="D101" s="315"/>
      <c r="E101" s="315" t="s">
        <v>363</v>
      </c>
      <c r="F101" s="315"/>
      <c r="G101" s="315"/>
      <c r="H101" s="315"/>
      <c r="I101" s="315"/>
    </row>
    <row r="102" spans="1:9" x14ac:dyDescent="0.2">
      <c r="A102" s="282"/>
      <c r="B102" s="282"/>
      <c r="C102" s="282"/>
      <c r="D102" s="282"/>
      <c r="E102" s="282"/>
      <c r="F102" s="282"/>
      <c r="G102" s="282"/>
      <c r="H102" s="282"/>
      <c r="I102" s="282"/>
    </row>
    <row r="103" spans="1:9" x14ac:dyDescent="0.2">
      <c r="A103" s="282"/>
      <c r="B103" s="282"/>
      <c r="C103" s="282"/>
      <c r="D103" s="282"/>
      <c r="E103" s="282"/>
      <c r="F103" s="282"/>
      <c r="G103" s="282"/>
      <c r="H103" s="282"/>
      <c r="I103" s="282"/>
    </row>
    <row r="104" spans="1:9" x14ac:dyDescent="0.2">
      <c r="A104" s="282"/>
      <c r="B104" s="282"/>
      <c r="C104" s="282"/>
      <c r="D104" s="282"/>
      <c r="E104" s="282"/>
      <c r="F104" s="282"/>
      <c r="G104" s="282"/>
      <c r="H104" s="282"/>
      <c r="I104" s="282"/>
    </row>
    <row r="105" spans="1:9" x14ac:dyDescent="0.2">
      <c r="A105" s="282"/>
      <c r="B105" s="282"/>
      <c r="C105" s="282"/>
      <c r="D105" s="282"/>
      <c r="E105" s="282"/>
      <c r="F105" s="282"/>
      <c r="G105" s="282"/>
      <c r="H105" s="282"/>
      <c r="I105" s="282"/>
    </row>
    <row r="106" spans="1:9" x14ac:dyDescent="0.2">
      <c r="A106" s="282"/>
      <c r="B106" s="282"/>
      <c r="C106" s="282"/>
      <c r="D106" s="282"/>
      <c r="E106" s="282"/>
      <c r="F106" s="282"/>
      <c r="G106" s="282"/>
      <c r="H106" s="282"/>
      <c r="I106" s="282"/>
    </row>
    <row r="107" spans="1:9" x14ac:dyDescent="0.2">
      <c r="A107" s="282"/>
      <c r="B107" s="282"/>
      <c r="C107" s="282"/>
      <c r="D107" s="282"/>
      <c r="E107" s="282"/>
      <c r="F107" s="282"/>
      <c r="G107" s="282"/>
      <c r="H107" s="282"/>
      <c r="I107" s="282"/>
    </row>
    <row r="108" spans="1:9" x14ac:dyDescent="0.2">
      <c r="A108" s="295" t="s">
        <v>364</v>
      </c>
      <c r="B108" s="295"/>
      <c r="C108" s="295"/>
      <c r="D108" s="295"/>
      <c r="E108" s="295"/>
      <c r="F108" s="295"/>
      <c r="G108" s="295"/>
      <c r="H108" s="295"/>
      <c r="I108" s="295"/>
    </row>
    <row r="109" spans="1:9" x14ac:dyDescent="0.2">
      <c r="A109" s="296"/>
      <c r="B109" s="296"/>
      <c r="C109" s="296"/>
      <c r="D109" s="296"/>
      <c r="E109" s="296"/>
      <c r="F109" s="296"/>
      <c r="G109" s="296"/>
      <c r="H109" s="296"/>
      <c r="I109" s="296"/>
    </row>
    <row r="111" spans="1:9" x14ac:dyDescent="0.2">
      <c r="A111" s="297" t="str">
        <f>"APPROVAL AUTHORITY (PRINT/SIGN):_________________________________" &amp; IF(COUNTIF(G75:I99,"HIGH")&gt;0,"CO REQ'D",IF(COUNTIF(G75:I99,"MEDIUM")&gt;2,"STAN/ODO REQ'D",""))</f>
        <v>APPROVAL AUTHORITY (PRINT/SIGN):_________________________________</v>
      </c>
      <c r="B111" s="297"/>
      <c r="C111" s="297"/>
      <c r="D111" s="297"/>
      <c r="E111" s="297"/>
      <c r="F111" s="297"/>
      <c r="G111" s="297"/>
      <c r="H111" s="297"/>
      <c r="I111" s="297"/>
    </row>
  </sheetData>
  <mergeCells count="138">
    <mergeCell ref="G95:I95"/>
    <mergeCell ref="E106:I107"/>
    <mergeCell ref="D68:F68"/>
    <mergeCell ref="D70:F70"/>
    <mergeCell ref="C72:G72"/>
    <mergeCell ref="A101:D101"/>
    <mergeCell ref="E101:I101"/>
    <mergeCell ref="G98:I98"/>
    <mergeCell ref="G99:I99"/>
    <mergeCell ref="A73:F73"/>
    <mergeCell ref="G73:I73"/>
    <mergeCell ref="A91:C91"/>
    <mergeCell ref="D91:E91"/>
    <mergeCell ref="A93:F93"/>
    <mergeCell ref="A97:F97"/>
    <mergeCell ref="G75:I75"/>
    <mergeCell ref="G76:I76"/>
    <mergeCell ref="G79:I79"/>
    <mergeCell ref="G80:I80"/>
    <mergeCell ref="G84:I84"/>
    <mergeCell ref="G86:I86"/>
    <mergeCell ref="G87:I87"/>
    <mergeCell ref="G90:I90"/>
    <mergeCell ref="G91:I91"/>
    <mergeCell ref="G94:I94"/>
    <mergeCell ref="A108:I109"/>
    <mergeCell ref="A111:I111"/>
    <mergeCell ref="A82:F82"/>
    <mergeCell ref="A78:F78"/>
    <mergeCell ref="G78:I78"/>
    <mergeCell ref="A74:F74"/>
    <mergeCell ref="G74:I74"/>
    <mergeCell ref="L22:M22"/>
    <mergeCell ref="L23:M23"/>
    <mergeCell ref="F58:I58"/>
    <mergeCell ref="F59:I59"/>
    <mergeCell ref="K56:P56"/>
    <mergeCell ref="A56:I56"/>
    <mergeCell ref="A54:C54"/>
    <mergeCell ref="E54:G54"/>
    <mergeCell ref="A86:C86"/>
    <mergeCell ref="A87:C87"/>
    <mergeCell ref="A89:F89"/>
    <mergeCell ref="A90:C90"/>
    <mergeCell ref="A102:D103"/>
    <mergeCell ref="E102:I103"/>
    <mergeCell ref="A104:D105"/>
    <mergeCell ref="E104:I105"/>
    <mergeCell ref="A106:D107"/>
    <mergeCell ref="L15:M15"/>
    <mergeCell ref="L16:M16"/>
    <mergeCell ref="N23:O23"/>
    <mergeCell ref="M19:N19"/>
    <mergeCell ref="N20:O20"/>
    <mergeCell ref="N21:O21"/>
    <mergeCell ref="L20:M20"/>
    <mergeCell ref="L21:M21"/>
    <mergeCell ref="N15:O15"/>
    <mergeCell ref="N16:O16"/>
    <mergeCell ref="C21:E21"/>
    <mergeCell ref="C22:E22"/>
    <mergeCell ref="F39:G39"/>
    <mergeCell ref="N39:O39"/>
    <mergeCell ref="L32:M32"/>
    <mergeCell ref="N32:O32"/>
    <mergeCell ref="A34:I34"/>
    <mergeCell ref="K34:P34"/>
    <mergeCell ref="C32:E32"/>
    <mergeCell ref="F32:G32"/>
    <mergeCell ref="E35:F35"/>
    <mergeCell ref="C28:E31"/>
    <mergeCell ref="N24:O24"/>
    <mergeCell ref="N37:O37"/>
    <mergeCell ref="N38:O38"/>
    <mergeCell ref="L40:M40"/>
    <mergeCell ref="K26:P26"/>
    <mergeCell ref="L36:M39"/>
    <mergeCell ref="N58:P58"/>
    <mergeCell ref="N59:P59"/>
    <mergeCell ref="F16:G16"/>
    <mergeCell ref="C24:E24"/>
    <mergeCell ref="F30:G30"/>
    <mergeCell ref="E27:F27"/>
    <mergeCell ref="F28:G28"/>
    <mergeCell ref="F29:G29"/>
    <mergeCell ref="M27:N27"/>
    <mergeCell ref="L28:M31"/>
    <mergeCell ref="N28:O28"/>
    <mergeCell ref="N29:O29"/>
    <mergeCell ref="F31:G31"/>
    <mergeCell ref="F15:G15"/>
    <mergeCell ref="F21:G21"/>
    <mergeCell ref="A42:I42"/>
    <mergeCell ref="K42:P42"/>
    <mergeCell ref="A51:I51"/>
    <mergeCell ref="K51:P51"/>
    <mergeCell ref="N40:O40"/>
    <mergeCell ref="C23:E23"/>
    <mergeCell ref="N22:O22"/>
    <mergeCell ref="F22:G22"/>
    <mergeCell ref="F23:G23"/>
    <mergeCell ref="L24:M24"/>
    <mergeCell ref="A26:I26"/>
    <mergeCell ref="C40:E40"/>
    <mergeCell ref="F40:G40"/>
    <mergeCell ref="M35:N35"/>
    <mergeCell ref="F24:G24"/>
    <mergeCell ref="C36:E39"/>
    <mergeCell ref="F36:G36"/>
    <mergeCell ref="F37:G37"/>
    <mergeCell ref="F38:G38"/>
    <mergeCell ref="N30:O30"/>
    <mergeCell ref="N31:O31"/>
    <mergeCell ref="N36:O36"/>
    <mergeCell ref="R32:S32"/>
    <mergeCell ref="N12:O12"/>
    <mergeCell ref="N14:O14"/>
    <mergeCell ref="C3:G3"/>
    <mergeCell ref="L3:O3"/>
    <mergeCell ref="E19:F19"/>
    <mergeCell ref="A10:I10"/>
    <mergeCell ref="K10:P10"/>
    <mergeCell ref="C12:E12"/>
    <mergeCell ref="F12:G12"/>
    <mergeCell ref="L12:M12"/>
    <mergeCell ref="F20:G20"/>
    <mergeCell ref="C20:E20"/>
    <mergeCell ref="L13:M13"/>
    <mergeCell ref="L14:M14"/>
    <mergeCell ref="N13:O13"/>
    <mergeCell ref="A18:I18"/>
    <mergeCell ref="K18:P18"/>
    <mergeCell ref="C13:E13"/>
    <mergeCell ref="C14:E14"/>
    <mergeCell ref="C15:E15"/>
    <mergeCell ref="C16:E16"/>
    <mergeCell ref="F13:G13"/>
    <mergeCell ref="F14:G14"/>
  </mergeCells>
  <phoneticPr fontId="0" type="noConversion"/>
  <conditionalFormatting sqref="I46">
    <cfRule type="cellIs" dxfId="49" priority="60" operator="notBetween">
      <formula>$F$45</formula>
      <formula>$I$45</formula>
    </cfRule>
  </conditionalFormatting>
  <conditionalFormatting sqref="F32:G32">
    <cfRule type="cellIs" dxfId="48" priority="71" operator="between">
      <formula>3200</formula>
      <formula>3350</formula>
    </cfRule>
    <cfRule type="cellIs" dxfId="47" priority="72" operator="between">
      <formula>3350</formula>
      <formula>3500</formula>
    </cfRule>
  </conditionalFormatting>
  <conditionalFormatting sqref="C24">
    <cfRule type="cellIs" dxfId="46" priority="69" operator="between">
      <formula>3200</formula>
      <formula>3500</formula>
    </cfRule>
  </conditionalFormatting>
  <conditionalFormatting sqref="I44">
    <cfRule type="cellIs" dxfId="45" priority="66" operator="greaterThan">
      <formula>3200</formula>
    </cfRule>
    <cfRule type="cellIs" dxfId="44" priority="67" operator="greaterThan">
      <formula>3350</formula>
    </cfRule>
  </conditionalFormatting>
  <conditionalFormatting sqref="F31:G31">
    <cfRule type="cellIs" dxfId="43" priority="65" operator="greaterThan">
      <formula>150</formula>
    </cfRule>
  </conditionalFormatting>
  <conditionalFormatting sqref="I45">
    <cfRule type="expression" dxfId="42" priority="61">
      <formula>"LEFT($I$43,2)=0"</formula>
    </cfRule>
  </conditionalFormatting>
  <conditionalFormatting sqref="I49">
    <cfRule type="cellIs" dxfId="41" priority="75" operator="notBetween">
      <formula>$I$48</formula>
      <formula>$F$48</formula>
    </cfRule>
  </conditionalFormatting>
  <conditionalFormatting sqref="F24">
    <cfRule type="cellIs" dxfId="40" priority="57" operator="greaterThan">
      <formula>3200</formula>
    </cfRule>
  </conditionalFormatting>
  <conditionalFormatting sqref="A61">
    <cfRule type="expression" dxfId="39" priority="53">
      <formula>NOT(MONTH($A$61)=MONTH(NOW()))</formula>
    </cfRule>
    <cfRule type="expression" dxfId="38" priority="55">
      <formula>MONTH($A$61)=MONTH(NOW())</formula>
    </cfRule>
  </conditionalFormatting>
  <conditionalFormatting sqref="G84 G79 G86:G87">
    <cfRule type="cellIs" dxfId="37" priority="48" operator="equal">
      <formula>"HIGH"</formula>
    </cfRule>
  </conditionalFormatting>
  <conditionalFormatting sqref="G84 G86:G87 G79">
    <cfRule type="cellIs" dxfId="36" priority="46" operator="equal">
      <formula>"LOW"</formula>
    </cfRule>
  </conditionalFormatting>
  <conditionalFormatting sqref="G84 G86:G87 G79">
    <cfRule type="cellIs" dxfId="35" priority="47" operator="equal">
      <formula>"MEDIUM"</formula>
    </cfRule>
  </conditionalFormatting>
  <conditionalFormatting sqref="G80">
    <cfRule type="cellIs" dxfId="34" priority="39" operator="equal">
      <formula>"HIGH"</formula>
    </cfRule>
  </conditionalFormatting>
  <conditionalFormatting sqref="G80">
    <cfRule type="cellIs" dxfId="33" priority="37" operator="equal">
      <formula>"LOW"</formula>
    </cfRule>
  </conditionalFormatting>
  <conditionalFormatting sqref="G80">
    <cfRule type="cellIs" dxfId="32" priority="38" operator="equal">
      <formula>"MEDIUM"</formula>
    </cfRule>
  </conditionalFormatting>
  <conditionalFormatting sqref="G76">
    <cfRule type="cellIs" dxfId="31" priority="33" operator="equal">
      <formula>"HIGH"</formula>
    </cfRule>
  </conditionalFormatting>
  <conditionalFormatting sqref="G75:I76 G79:I80 G84 G86:I87 G90:I91 G94:I95 G98:I99">
    <cfRule type="cellIs" dxfId="30" priority="31" operator="equal">
      <formula>"LOW"</formula>
    </cfRule>
  </conditionalFormatting>
  <conditionalFormatting sqref="G76">
    <cfRule type="cellIs" dxfId="29" priority="32" operator="equal">
      <formula>"MEDIUM"</formula>
    </cfRule>
  </conditionalFormatting>
  <conditionalFormatting sqref="G98">
    <cfRule type="cellIs" dxfId="28" priority="12" operator="equal">
      <formula>"HIGH"</formula>
    </cfRule>
  </conditionalFormatting>
  <conditionalFormatting sqref="G98">
    <cfRule type="cellIs" dxfId="27" priority="11" operator="equal">
      <formula>"MEDIUM"</formula>
    </cfRule>
  </conditionalFormatting>
  <conditionalFormatting sqref="G90">
    <cfRule type="cellIs" dxfId="26" priority="24" operator="equal">
      <formula>"HIGH"</formula>
    </cfRule>
  </conditionalFormatting>
  <conditionalFormatting sqref="G90">
    <cfRule type="cellIs" dxfId="25" priority="22" operator="equal">
      <formula>"LOW"</formula>
    </cfRule>
  </conditionalFormatting>
  <conditionalFormatting sqref="G90">
    <cfRule type="cellIs" dxfId="24" priority="23" operator="equal">
      <formula>"MEDIUM"</formula>
    </cfRule>
  </conditionalFormatting>
  <conditionalFormatting sqref="G91">
    <cfRule type="cellIs" dxfId="23" priority="21" operator="equal">
      <formula>"HIGH"</formula>
    </cfRule>
  </conditionalFormatting>
  <conditionalFormatting sqref="G91">
    <cfRule type="cellIs" dxfId="22" priority="19" operator="equal">
      <formula>"LOW"</formula>
    </cfRule>
  </conditionalFormatting>
  <conditionalFormatting sqref="G91">
    <cfRule type="cellIs" dxfId="21" priority="20" operator="equal">
      <formula>"MEDIUM"</formula>
    </cfRule>
  </conditionalFormatting>
  <conditionalFormatting sqref="G94">
    <cfRule type="cellIs" dxfId="20" priority="18" operator="equal">
      <formula>"HIGH"</formula>
    </cfRule>
  </conditionalFormatting>
  <conditionalFormatting sqref="G94">
    <cfRule type="cellIs" dxfId="19" priority="17" operator="equal">
      <formula>"MEDIUM"</formula>
    </cfRule>
  </conditionalFormatting>
  <conditionalFormatting sqref="G95">
    <cfRule type="cellIs" dxfId="18" priority="15" operator="equal">
      <formula>"HIGH"</formula>
    </cfRule>
  </conditionalFormatting>
  <conditionalFormatting sqref="G95">
    <cfRule type="cellIs" dxfId="17" priority="14" operator="equal">
      <formula>"MEDIUM"</formula>
    </cfRule>
  </conditionalFormatting>
  <conditionalFormatting sqref="G99">
    <cfRule type="cellIs" dxfId="16" priority="9" operator="equal">
      <formula>"HIGH"</formula>
    </cfRule>
  </conditionalFormatting>
  <conditionalFormatting sqref="G99">
    <cfRule type="cellIs" dxfId="15" priority="8" operator="equal">
      <formula>"MEDIUM"</formula>
    </cfRule>
  </conditionalFormatting>
  <conditionalFormatting sqref="A108:I109">
    <cfRule type="expression" dxfId="14" priority="5">
      <formula>COUNTIF($G$75:$I$99,"HIGH")&gt;0</formula>
    </cfRule>
    <cfRule type="expression" dxfId="13" priority="6">
      <formula>COUNTIF($G$75:$I$99,"MEDIUM")&gt;2</formula>
    </cfRule>
  </conditionalFormatting>
  <conditionalFormatting sqref="D6">
    <cfRule type="cellIs" dxfId="12" priority="2" operator="equal">
      <formula>$V$38</formula>
    </cfRule>
    <cfRule type="cellIs" dxfId="11" priority="3" operator="equal">
      <formula>$W$38</formula>
    </cfRule>
    <cfRule type="cellIs" dxfId="10" priority="4" operator="equal">
      <formula>$V$39</formula>
    </cfRule>
    <cfRule type="cellIs" dxfId="9" priority="49" operator="equal">
      <formula>$W$39</formula>
    </cfRule>
    <cfRule type="cellIs" dxfId="8" priority="50" operator="equal">
      <formula>$V$40</formula>
    </cfRule>
    <cfRule type="cellIs" dxfId="7" priority="51" operator="equal">
      <formula>$W$40</formula>
    </cfRule>
  </conditionalFormatting>
  <conditionalFormatting sqref="F28:I32">
    <cfRule type="expression" dxfId="6" priority="1">
      <formula>$G$27="No"</formula>
    </cfRule>
  </conditionalFormatting>
  <dataValidations count="4">
    <dataValidation type="whole" allowBlank="1" showInputMessage="1" showErrorMessage="1" errorTitle="Below operating weight!!" error="Please input a weight that is between your lowest operating weight and max gross weight (3200 lbs)." sqref="D54">
      <formula1>MIN(C16:G16)</formula1>
      <formula2>3200</formula2>
    </dataValidation>
    <dataValidation type="list" allowBlank="1" showInputMessage="1" showErrorMessage="1" sqref="E4">
      <formula1>"Yes, No"</formula1>
    </dataValidation>
    <dataValidation type="list" allowBlank="1" showInputMessage="1" showErrorMessage="1" sqref="D87 D90">
      <formula1>"YES, NO"</formula1>
    </dataValidation>
    <dataValidation type="list" allowBlank="1" showInputMessage="1" showErrorMessage="1" sqref="D91">
      <formula1>"LOW LIGHT, HIGH LIGHT"</formula1>
    </dataValidation>
  </dataValidations>
  <pageMargins left="0.25" right="0" top="0" bottom="0" header="0" footer="0"/>
  <pageSetup scale="96" fitToHeight="0" orientation="landscape"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8" id="{A50054B0-72E5-46FB-93A2-848D14797832}">
            <xm:f>VALUE(Data!$Z$11)&gt;VALUE(Data!$Z$12)</xm:f>
            <x14:dxf>
              <font>
                <color rgb="FFFF0000"/>
              </font>
              <fill>
                <patternFill>
                  <bgColor rgb="FFFF7C80"/>
                </patternFill>
              </fill>
            </x14:dxf>
          </x14:cfRule>
          <x14:cfRule type="expression" priority="59" id="{80CBAE5D-999E-4179-8ED2-755F2306D29C}">
            <xm:f>VALUE(Data!$Y$11)&gt;(Data!$Y$12)</xm:f>
            <x14:dxf>
              <font>
                <color rgb="FFFF0000"/>
              </font>
              <fill>
                <patternFill>
                  <bgColor rgb="FFFF9999"/>
                </patternFill>
              </fill>
            </x14:dxf>
          </x14:cfRule>
          <xm:sqref>D7</xm:sqref>
        </x14:conditionalFormatting>
        <x14:conditionalFormatting xmlns:xm="http://schemas.microsoft.com/office/excel/2006/main">
          <x14:cfRule type="expression" priority="42" id="{5F042091-153F-4EF1-A173-E5C1812902AB}">
            <xm:f>VALUE(Data!$Z$11)&gt;VALUE(Data!$Z$12)</xm:f>
            <x14:dxf>
              <fill>
                <patternFill>
                  <bgColor rgb="FFFF0000"/>
                </patternFill>
              </fill>
            </x14:dxf>
          </x14:cfRule>
          <x14:cfRule type="expression" priority="43" id="{7F6CE494-DBBC-4DB5-AAEE-812A368072F4}">
            <xm:f>VALUE(Data!$Z$11)&gt;(VALUE(Data!$Z$12)-5)</xm:f>
            <x14:dxf>
              <fill>
                <patternFill>
                  <bgColor rgb="FFFFFF00"/>
                </patternFill>
              </fill>
            </x14:dxf>
          </x14:cfRule>
          <xm:sqref>E86</xm:sqref>
        </x14:conditionalFormatting>
        <x14:conditionalFormatting xmlns:xm="http://schemas.microsoft.com/office/excel/2006/main">
          <x14:cfRule type="expression" priority="40" id="{675F95B9-05F9-4204-B220-D045A93A78DF}">
            <xm:f>VALUE(Data!$Y$11)&gt;VALUE(Data!$Y$12)</xm:f>
            <x14:dxf>
              <fill>
                <patternFill>
                  <bgColor rgb="FFFF0000"/>
                </patternFill>
              </fill>
            </x14:dxf>
          </x14:cfRule>
          <x14:cfRule type="expression" priority="41" id="{A579B2A5-B8F2-4CD5-A155-92AE4B2900F7}">
            <xm:f>VALUE(Data!$Y$11)&gt;(VALUE(Data!$Y$12)-5)</xm:f>
            <x14:dxf>
              <fill>
                <patternFill>
                  <bgColor rgb="FFFFFF00"/>
                </patternFill>
              </fill>
            </x14:dxf>
          </x14:cfRule>
          <xm:sqref>D86</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Data!$H$3:$H$93</xm:f>
          </x14:formula1>
          <xm:sqref>B37</xm:sqref>
        </x14:dataValidation>
        <x14:dataValidation type="list" allowBlank="1" showInputMessage="1" showErrorMessage="1">
          <x14:formula1>
            <xm:f>IF($C$6="B",Data!$C$75:$C$116,Data!$C$2:$C$74)</xm:f>
          </x14:formula1>
          <xm:sqref>D6</xm:sqref>
        </x14:dataValidation>
        <x14:dataValidation type="list" allowBlank="1" showInputMessage="1" showErrorMessage="1">
          <x14:formula1>
            <xm:f>Data!$K$3:$K$4</xm:f>
          </x14:formula1>
          <xm:sqref>C6</xm:sqref>
        </x14:dataValidation>
        <x14:dataValidation type="list" showInputMessage="1" showErrorMessage="1">
          <x14:formula1>
            <xm:f>Data!$M$3:$M$4</xm:f>
          </x14:formula1>
          <xm:sqref>G27</xm:sqref>
        </x14:dataValidation>
        <x14:dataValidation type="list" operator="lessThan" allowBlank="1" showInputMessage="1" showErrorMessage="1">
          <x14:formula1>
            <xm:f>Data!$H$3:$H$93</xm:f>
          </x14:formula1>
          <xm:sqref>B21</xm:sqref>
        </x14:dataValidation>
        <x14:dataValidation type="list" operator="lessThan" allowBlank="1" showInputMessage="1" showErrorMessage="1">
          <x14:formula1>
            <xm:f>IF(G27="Yes",Data!$H$3:$H$93,"")</xm:f>
          </x14:formula1>
          <xm:sqref>B29</xm:sqref>
        </x14:dataValidation>
        <x14:dataValidation type="list" allowBlank="1" showInputMessage="1" showErrorMessage="1">
          <x14:formula1>
            <xm:f>Data!$AM$3:$AM$5</xm:f>
          </x14:formula1>
          <xm:sqref>G79:G80 G75:G76 G94:G95 G98:G99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K49"/>
  <sheetViews>
    <sheetView zoomScale="85" zoomScaleNormal="85" workbookViewId="0">
      <selection activeCell="H53" sqref="H53"/>
    </sheetView>
  </sheetViews>
  <sheetFormatPr defaultRowHeight="12.75" x14ac:dyDescent="0.2"/>
  <cols>
    <col min="2" max="2" width="19.7109375" bestFit="1" customWidth="1"/>
    <col min="5" max="5" width="12" customWidth="1"/>
    <col min="7" max="7" width="9.5703125" bestFit="1" customWidth="1"/>
    <col min="9" max="9" width="7.140625" bestFit="1" customWidth="1"/>
    <col min="10" max="10" width="5.140625" bestFit="1" customWidth="1"/>
    <col min="11" max="11" width="7.7109375" bestFit="1" customWidth="1"/>
    <col min="17" max="18" width="9.5703125" bestFit="1" customWidth="1"/>
  </cols>
  <sheetData>
    <row r="1" spans="2:11" ht="13.5" thickBot="1" x14ac:dyDescent="0.25"/>
    <row r="2" spans="2:11" x14ac:dyDescent="0.2">
      <c r="B2" s="325" t="s">
        <v>83</v>
      </c>
      <c r="C2" s="326"/>
      <c r="D2" s="326"/>
      <c r="E2" s="326"/>
      <c r="F2" s="326"/>
      <c r="G2" s="327"/>
    </row>
    <row r="3" spans="2:11" x14ac:dyDescent="0.2">
      <c r="B3" s="52" t="s">
        <v>73</v>
      </c>
      <c r="C3" s="53"/>
      <c r="E3" s="53" t="s">
        <v>74</v>
      </c>
      <c r="F3" s="53"/>
      <c r="G3" s="45"/>
    </row>
    <row r="4" spans="2:11" x14ac:dyDescent="0.2">
      <c r="B4" s="46" t="s">
        <v>70</v>
      </c>
      <c r="C4" s="47" t="s">
        <v>71</v>
      </c>
      <c r="E4" s="47" t="s">
        <v>70</v>
      </c>
      <c r="F4" s="47" t="s">
        <v>71</v>
      </c>
      <c r="G4" s="45"/>
    </row>
    <row r="5" spans="2:11" x14ac:dyDescent="0.2">
      <c r="B5" s="48">
        <v>106.75</v>
      </c>
      <c r="C5">
        <v>2000</v>
      </c>
      <c r="E5">
        <v>106</v>
      </c>
      <c r="F5">
        <v>2000</v>
      </c>
      <c r="G5" s="45"/>
    </row>
    <row r="6" spans="2:11" x14ac:dyDescent="0.2">
      <c r="B6" s="48">
        <v>106.75</v>
      </c>
      <c r="C6">
        <v>3200</v>
      </c>
      <c r="E6">
        <v>106</v>
      </c>
      <c r="F6">
        <v>3200</v>
      </c>
      <c r="G6" s="45" t="str">
        <f ca="1">IF($B$25=F6,E7,"")</f>
        <v/>
      </c>
    </row>
    <row r="7" spans="2:11" x14ac:dyDescent="0.2">
      <c r="B7" s="48">
        <v>111.4</v>
      </c>
      <c r="C7">
        <v>3200</v>
      </c>
      <c r="D7" t="str">
        <f ca="1">IF($B$25=C6,B7,"")</f>
        <v/>
      </c>
      <c r="E7">
        <v>111.4</v>
      </c>
      <c r="F7">
        <v>3200</v>
      </c>
      <c r="G7" s="45"/>
    </row>
    <row r="8" spans="2:11" x14ac:dyDescent="0.2">
      <c r="B8" s="48">
        <v>112.5</v>
      </c>
      <c r="C8">
        <v>2900</v>
      </c>
      <c r="D8" t="str">
        <f ca="1">IF(AND($B$25&gt;C8,$B$25&lt;C7),($B$25-$E$33)/$E$32,"")</f>
        <v/>
      </c>
      <c r="E8">
        <v>114.2</v>
      </c>
      <c r="F8">
        <v>2350</v>
      </c>
      <c r="G8" s="45">
        <f ca="1">IF(AND($B$25&gt;F8,$B$25&lt;F7),($B$25-$E$41)/$E$40,"")</f>
        <v>113.82051764705884</v>
      </c>
    </row>
    <row r="9" spans="2:11" x14ac:dyDescent="0.2">
      <c r="B9" s="48">
        <v>112.5</v>
      </c>
      <c r="C9">
        <v>2450</v>
      </c>
      <c r="D9">
        <f ca="1">IF(AND($B$25&gt;C9,$B$25&lt;C8),B9,"")</f>
        <v>112.5</v>
      </c>
      <c r="E9">
        <v>114.2</v>
      </c>
      <c r="F9">
        <v>2000</v>
      </c>
      <c r="G9" s="45" t="str">
        <f ca="1">IF(AND($B$25&gt;F9,$B$25&lt;F8),E9,"")</f>
        <v/>
      </c>
      <c r="J9" s="43"/>
    </row>
    <row r="10" spans="2:11" ht="13.5" thickBot="1" x14ac:dyDescent="0.25">
      <c r="B10" s="49">
        <v>111</v>
      </c>
      <c r="C10" s="50">
        <v>2000</v>
      </c>
      <c r="D10" s="50" t="str">
        <f ca="1">IF(AND($B$25&gt;C10,$B$25&lt;C9),($B$25-$E$37)/$E$36,"")</f>
        <v/>
      </c>
      <c r="E10" s="50"/>
      <c r="F10" s="50"/>
      <c r="G10" s="51"/>
    </row>
    <row r="11" spans="2:11" x14ac:dyDescent="0.2">
      <c r="B11" s="325" t="s">
        <v>84</v>
      </c>
      <c r="C11" s="326"/>
      <c r="D11" s="326"/>
      <c r="E11" s="326"/>
      <c r="F11" s="326"/>
      <c r="G11" s="327"/>
      <c r="I11" s="325" t="s">
        <v>85</v>
      </c>
      <c r="J11" s="326"/>
      <c r="K11" s="327"/>
    </row>
    <row r="12" spans="2:11" x14ac:dyDescent="0.2">
      <c r="B12" s="52" t="s">
        <v>73</v>
      </c>
      <c r="C12" s="53"/>
      <c r="E12" s="53" t="s">
        <v>74</v>
      </c>
      <c r="F12" s="53"/>
      <c r="G12" s="45"/>
      <c r="I12" s="48">
        <v>106</v>
      </c>
      <c r="J12">
        <v>3200</v>
      </c>
      <c r="K12" s="45"/>
    </row>
    <row r="13" spans="2:11" x14ac:dyDescent="0.2">
      <c r="B13" s="46" t="s">
        <v>70</v>
      </c>
      <c r="C13" s="47" t="s">
        <v>71</v>
      </c>
      <c r="E13" s="47" t="s">
        <v>70</v>
      </c>
      <c r="F13" s="47" t="s">
        <v>71</v>
      </c>
      <c r="G13" s="45"/>
      <c r="I13" s="48">
        <v>106.9</v>
      </c>
      <c r="J13">
        <v>3350</v>
      </c>
      <c r="K13" s="45" t="str">
        <f>IF(NOT(B27=""),ROUND((B27-E45)/E44,1),"")</f>
        <v/>
      </c>
    </row>
    <row r="14" spans="2:11" x14ac:dyDescent="0.2">
      <c r="B14" s="48">
        <v>106.75</v>
      </c>
      <c r="C14">
        <v>2000</v>
      </c>
      <c r="E14">
        <v>106</v>
      </c>
      <c r="F14">
        <v>2000</v>
      </c>
      <c r="G14" s="45"/>
      <c r="I14" s="48">
        <v>110.8</v>
      </c>
      <c r="J14">
        <v>3350</v>
      </c>
      <c r="K14" s="45"/>
    </row>
    <row r="15" spans="2:11" ht="13.5" thickBot="1" x14ac:dyDescent="0.25">
      <c r="B15" s="48">
        <v>106.75</v>
      </c>
      <c r="C15">
        <v>3200</v>
      </c>
      <c r="E15">
        <v>106</v>
      </c>
      <c r="F15">
        <v>3200</v>
      </c>
      <c r="G15" s="45" t="str">
        <f ca="1">IF($B$29=F15,E16,"")</f>
        <v/>
      </c>
      <c r="I15" s="49">
        <v>111.4</v>
      </c>
      <c r="J15" s="50">
        <v>3200</v>
      </c>
      <c r="K15" s="51"/>
    </row>
    <row r="16" spans="2:11" x14ac:dyDescent="0.2">
      <c r="B16" s="48">
        <v>111.4</v>
      </c>
      <c r="C16">
        <v>3200</v>
      </c>
      <c r="D16" t="str">
        <f ca="1">IF($B$29=C15,B16,"")</f>
        <v/>
      </c>
      <c r="E16">
        <v>111.4</v>
      </c>
      <c r="F16">
        <v>3200</v>
      </c>
      <c r="G16" s="45"/>
    </row>
    <row r="17" spans="2:7" x14ac:dyDescent="0.2">
      <c r="B17" s="48">
        <v>112.5</v>
      </c>
      <c r="C17">
        <v>2900</v>
      </c>
      <c r="D17" t="str">
        <f ca="1">IF(AND($B$29&gt;C17,$B$29&lt;C16),($B$29-$E$33)/$E$32,"")</f>
        <v/>
      </c>
      <c r="E17">
        <v>114.2</v>
      </c>
      <c r="F17">
        <v>2350</v>
      </c>
      <c r="G17" s="45" t="str">
        <f ca="1">IF(AND($B$29&gt;F17,$B$29&lt;F16),($B$29-$E$33)/$E$32,"")</f>
        <v/>
      </c>
    </row>
    <row r="18" spans="2:7" x14ac:dyDescent="0.2">
      <c r="B18" s="48">
        <v>112.5</v>
      </c>
      <c r="C18">
        <v>2450</v>
      </c>
      <c r="D18" t="str">
        <f ca="1">IF(AND($B$29&gt;C18,$B$29&lt;C17),B18,"")</f>
        <v/>
      </c>
      <c r="E18">
        <v>114.2</v>
      </c>
      <c r="F18">
        <v>2000</v>
      </c>
      <c r="G18" s="45">
        <f ca="1">IF(AND($B$29&gt;F18,$B$29&lt;F17),E18,"")</f>
        <v>114.2</v>
      </c>
    </row>
    <row r="19" spans="2:7" ht="13.5" thickBot="1" x14ac:dyDescent="0.25">
      <c r="B19" s="49">
        <v>111</v>
      </c>
      <c r="C19" s="50">
        <v>2000</v>
      </c>
      <c r="D19" s="50">
        <f ca="1">IF(AND($B$29&gt;C19,$B$29&lt;C18),($B$29-$E$37)/$E$36,"")</f>
        <v>111.21066666666665</v>
      </c>
      <c r="E19" s="50"/>
      <c r="F19" s="50"/>
      <c r="G19" s="51"/>
    </row>
    <row r="21" spans="2:7" ht="13.5" thickBot="1" x14ac:dyDescent="0.25"/>
    <row r="22" spans="2:7" x14ac:dyDescent="0.2">
      <c r="B22" s="325" t="s">
        <v>72</v>
      </c>
      <c r="C22" s="326"/>
      <c r="D22" s="326"/>
      <c r="E22" s="326"/>
      <c r="F22" s="327"/>
    </row>
    <row r="23" spans="2:7" x14ac:dyDescent="0.2">
      <c r="B23" s="328" t="s">
        <v>80</v>
      </c>
      <c r="F23" s="45"/>
    </row>
    <row r="24" spans="2:7" x14ac:dyDescent="0.2">
      <c r="B24" s="328"/>
      <c r="C24" s="47" t="s">
        <v>75</v>
      </c>
      <c r="D24" s="47" t="s">
        <v>79</v>
      </c>
      <c r="E24" s="47" t="s">
        <v>76</v>
      </c>
      <c r="F24" s="45"/>
    </row>
    <row r="25" spans="2:7" x14ac:dyDescent="0.2">
      <c r="B25" s="48">
        <f ca="1">'W &amp; B'!F24</f>
        <v>2465.1999999999998</v>
      </c>
      <c r="C25">
        <f>IF(F25="FCS Off",ROUND(MIN($E$5:$E$9),2),IF(F25="FCS On",ROUND(MIN($B$5:$B$10),2),""))</f>
        <v>106</v>
      </c>
      <c r="D25">
        <f ca="1">'W &amp; B'!H24</f>
        <v>118.3</v>
      </c>
      <c r="E25">
        <f ca="1">IF(AND(F25="FCS Off",ROUND(MAX($G$5:$G$9),2)&gt;0),ROUND(MAX($G$5:$G$9),2),IF(AND(F25="FCS On",ROUND(MAX($D$5:$D$10),2)&gt;0),ROUND(MAX($D$5:$D$10),2),ROUND((B25-E49)/E48,1)))</f>
        <v>113.82</v>
      </c>
      <c r="F25" s="54" t="str">
        <f>IF(OR('W &amp; B'!C6="B",AND('W &amp; B'!D6&gt;140,'W &amp; B'!D6&lt;200)),"FCS Off","FCS On")</f>
        <v>FCS Off</v>
      </c>
    </row>
    <row r="26" spans="2:7" x14ac:dyDescent="0.2">
      <c r="B26" s="46" t="s">
        <v>320</v>
      </c>
      <c r="C26" s="47" t="s">
        <v>75</v>
      </c>
      <c r="D26" s="47" t="s">
        <v>86</v>
      </c>
      <c r="E26" s="47" t="s">
        <v>76</v>
      </c>
      <c r="F26" s="54"/>
    </row>
    <row r="27" spans="2:7" x14ac:dyDescent="0.2">
      <c r="B27" s="48" t="str">
        <f>'W &amp; B'!F32</f>
        <v/>
      </c>
      <c r="C27" t="str">
        <f>K13</f>
        <v/>
      </c>
      <c r="D27" t="str">
        <f>'W &amp; B'!H32</f>
        <v/>
      </c>
      <c r="E27" t="str">
        <f>IF(NOT(B27=""),K15,"")</f>
        <v/>
      </c>
      <c r="F27" s="54" t="str">
        <f>IF(OR('W &amp; B'!C8="B",AND('W &amp; B'!D8&gt;140,'W &amp; B'!D8&lt;200)),"FCS Off","FCS On")</f>
        <v>FCS On</v>
      </c>
    </row>
    <row r="28" spans="2:7" x14ac:dyDescent="0.2">
      <c r="B28" s="46" t="s">
        <v>321</v>
      </c>
      <c r="C28" s="47" t="s">
        <v>75</v>
      </c>
      <c r="D28" s="47" t="s">
        <v>82</v>
      </c>
      <c r="E28" s="47" t="s">
        <v>76</v>
      </c>
      <c r="F28" s="45"/>
    </row>
    <row r="29" spans="2:7" ht="13.5" thickBot="1" x14ac:dyDescent="0.25">
      <c r="B29" s="49">
        <f ca="1">'W &amp; B'!F40</f>
        <v>2063.1999999999998</v>
      </c>
      <c r="C29" s="50">
        <f>IF(F29="FCS Off",ROUND(MIN($E$5:$E$9),2),IF(F29="FCS On",ROUND(MIN($B$5:$B$10),2),""))</f>
        <v>106</v>
      </c>
      <c r="D29" s="50">
        <f ca="1">'W &amp; B'!H40</f>
        <v>118.5</v>
      </c>
      <c r="E29" s="50">
        <f ca="1">IF(F25="FCS Off",ROUND(MAX($G$14:$G$18),2),IF(F25="FCS On",ROUND(MAX($D$14:$D$19),2),""))</f>
        <v>114.2</v>
      </c>
      <c r="F29" s="51" t="str">
        <f>F25</f>
        <v>FCS Off</v>
      </c>
    </row>
    <row r="31" spans="2:7" ht="13.5" thickBot="1" x14ac:dyDescent="0.25">
      <c r="D31" s="329" t="s">
        <v>313</v>
      </c>
      <c r="E31" s="329"/>
    </row>
    <row r="32" spans="2:7" x14ac:dyDescent="0.2">
      <c r="D32" s="102" t="s">
        <v>319</v>
      </c>
      <c r="E32" s="56">
        <f>(C8-C7)/(B8-B7)</f>
        <v>-272.72727272727411</v>
      </c>
    </row>
    <row r="33" spans="4:5" ht="13.5" thickBot="1" x14ac:dyDescent="0.25">
      <c r="D33" s="49"/>
      <c r="E33" s="51">
        <f>3200-(E32*111.4)</f>
        <v>33581.818181818337</v>
      </c>
    </row>
    <row r="35" spans="4:5" ht="13.5" thickBot="1" x14ac:dyDescent="0.25">
      <c r="D35" s="329" t="s">
        <v>314</v>
      </c>
      <c r="E35" s="329"/>
    </row>
    <row r="36" spans="4:5" x14ac:dyDescent="0.2">
      <c r="D36" s="55" t="s">
        <v>78</v>
      </c>
      <c r="E36" s="56">
        <f>(C10-C9)/(B10-B9)</f>
        <v>300</v>
      </c>
    </row>
    <row r="37" spans="4:5" ht="13.5" thickBot="1" x14ac:dyDescent="0.25">
      <c r="D37" s="49"/>
      <c r="E37" s="57">
        <f>2450-(E36*112.5)</f>
        <v>-31300</v>
      </c>
    </row>
    <row r="39" spans="4:5" ht="13.5" thickBot="1" x14ac:dyDescent="0.25">
      <c r="D39" s="216" t="s">
        <v>315</v>
      </c>
      <c r="E39" s="216"/>
    </row>
    <row r="40" spans="4:5" x14ac:dyDescent="0.2">
      <c r="D40" s="102" t="s">
        <v>318</v>
      </c>
      <c r="E40" s="56">
        <f>(F8-F7)/(E8-E7)</f>
        <v>-303.5714285714289</v>
      </c>
    </row>
    <row r="41" spans="4:5" ht="13.5" thickBot="1" x14ac:dyDescent="0.25">
      <c r="D41" s="49"/>
      <c r="E41" s="51">
        <f>2350-(E40*114.2)</f>
        <v>37017.857142857181</v>
      </c>
    </row>
    <row r="43" spans="4:5" ht="13.5" thickBot="1" x14ac:dyDescent="0.25">
      <c r="D43" s="216" t="s">
        <v>317</v>
      </c>
      <c r="E43" s="216"/>
    </row>
    <row r="44" spans="4:5" x14ac:dyDescent="0.2">
      <c r="D44" s="55" t="s">
        <v>87</v>
      </c>
      <c r="E44" s="56">
        <v>200</v>
      </c>
    </row>
    <row r="45" spans="4:5" ht="13.5" thickBot="1" x14ac:dyDescent="0.25">
      <c r="D45" s="49"/>
      <c r="E45" s="57">
        <v>-18000</v>
      </c>
    </row>
    <row r="47" spans="4:5" ht="13.5" thickBot="1" x14ac:dyDescent="0.25">
      <c r="D47" s="216" t="s">
        <v>316</v>
      </c>
      <c r="E47" s="216"/>
    </row>
    <row r="48" spans="4:5" x14ac:dyDescent="0.2">
      <c r="D48" s="102" t="s">
        <v>312</v>
      </c>
      <c r="E48" s="56">
        <f>(J15-J14)/(I15-I14)</f>
        <v>-249.99999999999645</v>
      </c>
    </row>
    <row r="49" spans="4:5" ht="13.5" thickBot="1" x14ac:dyDescent="0.25">
      <c r="D49" s="49"/>
      <c r="E49" s="51">
        <f>J14-(E48*I14)</f>
        <v>31049.999999999607</v>
      </c>
    </row>
  </sheetData>
  <sheetProtection algorithmName="SHA-512" hashValue="LCiDlPFe479PusQGqnqbzgBO6OCMGCpkAEs5ndA0xBUji1jmVns02SBanwQregIHeCpxDbRbX7S3Hpe51FfDpA==" saltValue="cVLEGmrWumHNl5bRPOjW9w==" spinCount="100000" sheet="1" objects="1" scenarios="1"/>
  <mergeCells count="10">
    <mergeCell ref="D31:E31"/>
    <mergeCell ref="D35:E35"/>
    <mergeCell ref="D39:E39"/>
    <mergeCell ref="D47:E47"/>
    <mergeCell ref="D43:E43"/>
    <mergeCell ref="B2:G2"/>
    <mergeCell ref="B11:G11"/>
    <mergeCell ref="I11:K11"/>
    <mergeCell ref="B23:B24"/>
    <mergeCell ref="B22:F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58"/>
  <sheetViews>
    <sheetView tabSelected="1" zoomScaleNormal="100" workbookViewId="0">
      <selection activeCell="P15" sqref="P15"/>
    </sheetView>
  </sheetViews>
  <sheetFormatPr defaultRowHeight="15" x14ac:dyDescent="0.25"/>
  <cols>
    <col min="1" max="1" width="9.140625" style="148"/>
    <col min="2" max="2" width="12.140625" style="148" customWidth="1"/>
    <col min="3" max="4" width="9.5703125" style="148" customWidth="1"/>
    <col min="5" max="5" width="9.140625" style="148"/>
    <col min="6" max="6" width="9.28515625" style="148" customWidth="1"/>
    <col min="7" max="7" width="10" style="148" customWidth="1"/>
    <col min="8" max="8" width="13.7109375" style="148" customWidth="1"/>
    <col min="9" max="12" width="9.140625" style="148"/>
    <col min="13" max="13" width="15.5703125" style="148" customWidth="1"/>
    <col min="14" max="14" width="9.140625" style="148"/>
    <col min="15" max="15" width="12.5703125" style="148" customWidth="1"/>
    <col min="16" max="16" width="9.140625" style="148"/>
    <col min="17" max="17" width="16" style="148" customWidth="1"/>
    <col min="18" max="16384" width="9.140625" style="148"/>
  </cols>
  <sheetData>
    <row r="1" spans="1:22" ht="20.25" customHeight="1" thickBot="1" x14ac:dyDescent="0.3">
      <c r="A1" s="331" t="s">
        <v>367</v>
      </c>
      <c r="B1" s="331" t="s">
        <v>368</v>
      </c>
      <c r="C1" s="331" t="s">
        <v>156</v>
      </c>
      <c r="D1" s="331" t="s">
        <v>158</v>
      </c>
      <c r="E1" s="332" t="s">
        <v>157</v>
      </c>
      <c r="F1" s="334" t="str">
        <f>Data!H114&amp;" = Heaviest"</f>
        <v>+ = Heaviest</v>
      </c>
      <c r="G1" s="335"/>
      <c r="H1" s="149">
        <f>Data!Q2</f>
        <v>45345</v>
      </c>
      <c r="I1" s="168"/>
      <c r="N1" s="333"/>
      <c r="O1" s="333"/>
      <c r="P1" s="333"/>
      <c r="Q1" s="333"/>
      <c r="R1" s="333"/>
      <c r="S1" s="150"/>
      <c r="U1" s="330"/>
      <c r="V1" s="151"/>
    </row>
    <row r="2" spans="1:22" ht="20.25" customHeight="1" thickBot="1" x14ac:dyDescent="0.3">
      <c r="A2" s="331"/>
      <c r="B2" s="331"/>
      <c r="C2" s="331"/>
      <c r="D2" s="331"/>
      <c r="E2" s="332"/>
      <c r="F2" s="334" t="str">
        <f>Data!H115&amp;" = Most Forward C/G"</f>
        <v>++ = Most Forward C/G</v>
      </c>
      <c r="G2" s="335"/>
      <c r="H2" s="336" t="s">
        <v>384</v>
      </c>
      <c r="I2" s="337"/>
      <c r="J2" s="152"/>
      <c r="K2" s="152"/>
      <c r="L2" s="330"/>
      <c r="M2" s="151"/>
      <c r="N2" s="333"/>
      <c r="O2" s="333"/>
      <c r="P2" s="333"/>
      <c r="Q2" s="333"/>
      <c r="R2" s="333"/>
      <c r="S2" s="150"/>
      <c r="U2" s="330"/>
      <c r="V2" s="151"/>
    </row>
    <row r="3" spans="1:22" x14ac:dyDescent="0.25">
      <c r="A3" s="153" t="str">
        <f>Data!P4</f>
        <v>TH-57C</v>
      </c>
      <c r="B3" s="153" t="str">
        <f>Data!U4</f>
        <v>050 (162014)</v>
      </c>
      <c r="C3" s="154">
        <f>Data!R4</f>
        <v>2150.1</v>
      </c>
      <c r="D3" s="154">
        <f>Data!T4</f>
        <v>2509.59</v>
      </c>
      <c r="E3" s="155">
        <f>Data!S4</f>
        <v>116.72</v>
      </c>
      <c r="F3" s="148" t="str">
        <f ca="1">VLOOKUP(B3,Data!$U$4:$W$116,3,FALSE)</f>
        <v/>
      </c>
      <c r="H3" s="152"/>
      <c r="I3" s="152"/>
      <c r="J3" s="152"/>
      <c r="K3" s="152"/>
      <c r="L3" s="330"/>
      <c r="M3" s="151"/>
      <c r="N3" s="156"/>
      <c r="O3" s="157"/>
      <c r="P3" s="150"/>
      <c r="Q3" s="150"/>
      <c r="R3" s="150"/>
      <c r="S3" s="156"/>
      <c r="U3" s="158"/>
      <c r="V3" s="156"/>
    </row>
    <row r="4" spans="1:22" ht="15" customHeight="1" x14ac:dyDescent="0.25">
      <c r="A4" s="153" t="str">
        <f>Data!P5</f>
        <v>TH-57C</v>
      </c>
      <c r="B4" s="153" t="str">
        <f>Data!U5</f>
        <v>051 (162015)</v>
      </c>
      <c r="C4" s="154">
        <f>Data!R5</f>
        <v>2152.6999999999998</v>
      </c>
      <c r="D4" s="154">
        <f>Data!T5</f>
        <v>2501.44</v>
      </c>
      <c r="E4" s="155">
        <f>Data!S5</f>
        <v>116.2</v>
      </c>
      <c r="F4" s="148" t="str">
        <f ca="1">VLOOKUP(B4,Data!$U$4:$W$116,3,FALSE)</f>
        <v/>
      </c>
      <c r="H4" s="152"/>
      <c r="I4" s="152"/>
      <c r="J4" s="152"/>
      <c r="K4" s="152"/>
      <c r="L4" s="158"/>
      <c r="M4" s="156"/>
      <c r="N4" s="156"/>
      <c r="O4" s="157"/>
      <c r="P4" s="150"/>
      <c r="Q4" s="150"/>
      <c r="R4" s="150"/>
      <c r="S4" s="156"/>
      <c r="U4" s="158"/>
      <c r="V4" s="156"/>
    </row>
    <row r="5" spans="1:22" x14ac:dyDescent="0.25">
      <c r="A5" s="153" t="str">
        <f>Data!P6</f>
        <v>TH-57C</v>
      </c>
      <c r="B5" s="153" t="str">
        <f>Data!U6</f>
        <v>056 (162020)</v>
      </c>
      <c r="C5" s="154">
        <f>Data!R6</f>
        <v>2106.6999999999998</v>
      </c>
      <c r="D5" s="154">
        <f>Data!T6</f>
        <v>2461.61</v>
      </c>
      <c r="E5" s="155">
        <f>Data!S6</f>
        <v>116.85</v>
      </c>
      <c r="F5" s="148" t="str">
        <f ca="1">VLOOKUP(B5,Data!$U$4:$W$116,3,FALSE)</f>
        <v/>
      </c>
      <c r="G5" s="331" t="s">
        <v>367</v>
      </c>
      <c r="H5" s="331" t="s">
        <v>368</v>
      </c>
      <c r="I5" s="331" t="s">
        <v>156</v>
      </c>
      <c r="J5" s="331" t="s">
        <v>158</v>
      </c>
      <c r="K5" s="331" t="s">
        <v>157</v>
      </c>
      <c r="L5" s="158"/>
      <c r="M5" s="156"/>
      <c r="N5" s="156"/>
      <c r="O5" s="157"/>
      <c r="P5" s="150"/>
      <c r="Q5" s="150"/>
      <c r="R5" s="150"/>
      <c r="S5" s="156"/>
      <c r="U5" s="158"/>
      <c r="V5" s="156"/>
    </row>
    <row r="6" spans="1:22" x14ac:dyDescent="0.25">
      <c r="A6" s="153" t="str">
        <f>Data!P7</f>
        <v>TH-57C</v>
      </c>
      <c r="B6" s="153" t="str">
        <f>Data!U7</f>
        <v>057 (162021)</v>
      </c>
      <c r="C6" s="154">
        <f>Data!R7</f>
        <v>2147.1999999999998</v>
      </c>
      <c r="D6" s="154">
        <f>Data!T7</f>
        <v>2494.31</v>
      </c>
      <c r="E6" s="155">
        <f>Data!S7</f>
        <v>116.17</v>
      </c>
      <c r="F6" s="148" t="str">
        <f ca="1">VLOOKUP(B6,Data!$U$4:$W$116,3,FALSE)</f>
        <v/>
      </c>
      <c r="G6" s="331"/>
      <c r="H6" s="331"/>
      <c r="I6" s="331"/>
      <c r="J6" s="331"/>
      <c r="K6" s="331"/>
      <c r="L6" s="158"/>
      <c r="M6" s="156"/>
      <c r="N6" s="156"/>
      <c r="O6" s="157"/>
      <c r="P6" s="150"/>
      <c r="Q6" s="150"/>
      <c r="R6" s="150"/>
      <c r="S6" s="156"/>
      <c r="U6" s="158"/>
      <c r="V6" s="156"/>
    </row>
    <row r="7" spans="1:22" x14ac:dyDescent="0.25">
      <c r="A7" s="153" t="str">
        <f>Data!P8</f>
        <v>TH-57C</v>
      </c>
      <c r="B7" s="153" t="str">
        <f>Data!U8</f>
        <v>058 (162022)</v>
      </c>
      <c r="C7" s="154">
        <f>Data!R8</f>
        <v>2147.6</v>
      </c>
      <c r="D7" s="154">
        <f>Data!T8</f>
        <v>2508.21</v>
      </c>
      <c r="E7" s="155">
        <f>Data!S8</f>
        <v>116.79</v>
      </c>
      <c r="F7" s="148" t="str">
        <f ca="1">VLOOKUP(B7,Data!$U$4:$W$116,3,FALSE)</f>
        <v/>
      </c>
      <c r="G7" s="153" t="str">
        <f>Data!P48</f>
        <v>TH-57C</v>
      </c>
      <c r="H7" s="153" t="str">
        <f>Data!U48</f>
        <v>106 (162668)</v>
      </c>
      <c r="I7" s="154">
        <f>Data!R48</f>
        <v>2156.1999999999998</v>
      </c>
      <c r="J7" s="154">
        <f>Data!T48</f>
        <v>2518.96</v>
      </c>
      <c r="K7" s="155">
        <f>Data!S48</f>
        <v>116.82</v>
      </c>
      <c r="L7" s="148" t="str">
        <f ca="1">VLOOKUP(H7,Data!$U$4:$W$116,3,FALSE)</f>
        <v/>
      </c>
      <c r="M7" s="156"/>
      <c r="N7" s="156"/>
      <c r="O7" s="157"/>
      <c r="P7" s="150"/>
      <c r="Q7" s="150"/>
      <c r="R7" s="150"/>
      <c r="S7" s="156"/>
      <c r="U7" s="158"/>
      <c r="V7" s="156"/>
    </row>
    <row r="8" spans="1:22" x14ac:dyDescent="0.25">
      <c r="A8" s="153" t="str">
        <f>Data!P9</f>
        <v>TH-57C</v>
      </c>
      <c r="B8" s="153" t="str">
        <f>Data!U9</f>
        <v>060 (162024)</v>
      </c>
      <c r="C8" s="154">
        <f>Data!R9</f>
        <v>2155.6</v>
      </c>
      <c r="D8" s="154">
        <f>Data!T9</f>
        <v>2520.1</v>
      </c>
      <c r="E8" s="155">
        <f>Data!S9</f>
        <v>116.91</v>
      </c>
      <c r="F8" s="148" t="str">
        <f ca="1">VLOOKUP(B8,Data!$U$4:$W$116,3,FALSE)</f>
        <v/>
      </c>
      <c r="G8" s="153" t="str">
        <f>Data!P49</f>
        <v>TH-57C</v>
      </c>
      <c r="H8" s="153" t="str">
        <f>Data!U49</f>
        <v>107 (162669)</v>
      </c>
      <c r="I8" s="154">
        <f>Data!R49</f>
        <v>2145.6999999999998</v>
      </c>
      <c r="J8" s="154">
        <f>Data!T49</f>
        <v>2508.8000000000002</v>
      </c>
      <c r="K8" s="155">
        <f>Data!S49</f>
        <v>116.92</v>
      </c>
      <c r="L8" s="148" t="str">
        <f ca="1">VLOOKUP(H8,Data!$U$4:$W$116,3,FALSE)</f>
        <v/>
      </c>
      <c r="M8" s="156"/>
      <c r="N8" s="156"/>
      <c r="O8" s="157"/>
      <c r="P8" s="150"/>
      <c r="Q8" s="150"/>
      <c r="R8" s="150"/>
      <c r="S8" s="156"/>
      <c r="U8" s="158"/>
      <c r="V8" s="156"/>
    </row>
    <row r="9" spans="1:22" x14ac:dyDescent="0.25">
      <c r="A9" s="153" t="str">
        <f>Data!P10</f>
        <v>TH-57C</v>
      </c>
      <c r="B9" s="153" t="str">
        <f>Data!U10</f>
        <v>061 (162025)</v>
      </c>
      <c r="C9" s="154">
        <f>Data!R10</f>
        <v>2136.6999999999998</v>
      </c>
      <c r="D9" s="154">
        <f>Data!T10</f>
        <v>2481.8000000000002</v>
      </c>
      <c r="E9" s="155">
        <f>Data!S10</f>
        <v>116.15</v>
      </c>
      <c r="F9" s="148" t="str">
        <f ca="1">VLOOKUP(B9,Data!$U$4:$W$116,3,FALSE)</f>
        <v/>
      </c>
      <c r="G9" s="153" t="str">
        <f>Data!P50</f>
        <v>TH-57C</v>
      </c>
      <c r="H9" s="153" t="str">
        <f>Data!U50</f>
        <v>108 (162670)</v>
      </c>
      <c r="I9" s="154">
        <f>Data!R50</f>
        <v>2144.3000000000002</v>
      </c>
      <c r="J9" s="154">
        <f>Data!T50</f>
        <v>2491.94</v>
      </c>
      <c r="K9" s="155">
        <f>Data!S50</f>
        <v>116.21</v>
      </c>
      <c r="L9" s="148" t="str">
        <f ca="1">VLOOKUP(H9,Data!$U$4:$W$116,3,FALSE)</f>
        <v/>
      </c>
      <c r="M9" s="156"/>
      <c r="N9" s="156"/>
      <c r="O9" s="157"/>
      <c r="P9" s="150"/>
      <c r="Q9" s="150"/>
      <c r="R9" s="150"/>
      <c r="S9" s="156"/>
      <c r="U9" s="158"/>
      <c r="V9" s="156"/>
    </row>
    <row r="10" spans="1:22" x14ac:dyDescent="0.25">
      <c r="A10" s="153" t="str">
        <f>Data!P11</f>
        <v>TH-57C</v>
      </c>
      <c r="B10" s="153" t="str">
        <f>Data!U11</f>
        <v>062 (162026)</v>
      </c>
      <c r="C10" s="154">
        <f>Data!R11</f>
        <v>2150.1</v>
      </c>
      <c r="D10" s="154">
        <f>Data!T11</f>
        <v>2494.85</v>
      </c>
      <c r="E10" s="155">
        <f>Data!S11</f>
        <v>116.03</v>
      </c>
      <c r="F10" s="148" t="str">
        <f ca="1">VLOOKUP(B10,Data!$U$4:$W$116,3,FALSE)</f>
        <v/>
      </c>
      <c r="G10" s="153" t="str">
        <f>Data!P51</f>
        <v>TH-57C</v>
      </c>
      <c r="H10" s="153" t="str">
        <f>Data!U51</f>
        <v>109 (162671)</v>
      </c>
      <c r="I10" s="154">
        <f>Data!R51</f>
        <v>2141.6999999999998</v>
      </c>
      <c r="J10" s="154">
        <f>Data!T51</f>
        <v>2497.9899999999998</v>
      </c>
      <c r="K10" s="155">
        <f>Data!S51</f>
        <v>116.64</v>
      </c>
      <c r="L10" s="148" t="str">
        <f ca="1">VLOOKUP(H10,Data!$U$4:$W$116,3,FALSE)</f>
        <v/>
      </c>
      <c r="M10" s="156"/>
      <c r="N10" s="156"/>
      <c r="O10" s="157"/>
      <c r="P10" s="150"/>
      <c r="Q10" s="150"/>
      <c r="R10" s="150"/>
      <c r="S10" s="156"/>
      <c r="U10" s="158"/>
      <c r="V10" s="156"/>
    </row>
    <row r="11" spans="1:22" x14ac:dyDescent="0.25">
      <c r="A11" s="153" t="str">
        <f>Data!P12</f>
        <v>TH-57C</v>
      </c>
      <c r="B11" s="153" t="str">
        <f>Data!U12</f>
        <v>063 (162027)</v>
      </c>
      <c r="C11" s="154">
        <f>Data!R12</f>
        <v>2159.6999999999998</v>
      </c>
      <c r="D11" s="154">
        <f>Data!T12</f>
        <v>2525.2600000000002</v>
      </c>
      <c r="E11" s="155">
        <f>Data!S12</f>
        <v>116.93</v>
      </c>
      <c r="F11" s="148" t="str">
        <f ca="1">VLOOKUP(B11,Data!$U$4:$W$116,3,FALSE)</f>
        <v/>
      </c>
      <c r="G11" s="153" t="str">
        <f>Data!P52</f>
        <v>TH-57C</v>
      </c>
      <c r="H11" s="153" t="str">
        <f>Data!U52</f>
        <v>110 (162672)</v>
      </c>
      <c r="I11" s="154">
        <f>Data!R52</f>
        <v>2146.6999999999998</v>
      </c>
      <c r="J11" s="154">
        <f>Data!T52</f>
        <v>2509.98</v>
      </c>
      <c r="K11" s="155">
        <f>Data!S52</f>
        <v>116.92</v>
      </c>
      <c r="L11" s="148" t="str">
        <f ca="1">VLOOKUP(H11,Data!$U$4:$W$116,3,FALSE)</f>
        <v/>
      </c>
      <c r="M11" s="156"/>
      <c r="N11" s="156"/>
      <c r="O11" s="157"/>
      <c r="P11" s="150"/>
      <c r="Q11" s="150"/>
      <c r="R11" s="150"/>
      <c r="S11" s="156"/>
      <c r="U11" s="158"/>
      <c r="V11" s="156"/>
    </row>
    <row r="12" spans="1:22" x14ac:dyDescent="0.25">
      <c r="A12" s="153" t="str">
        <f>Data!P13</f>
        <v>TH-57C</v>
      </c>
      <c r="B12" s="153" t="str">
        <f>Data!U13</f>
        <v>065 (162029)</v>
      </c>
      <c r="C12" s="154">
        <f>Data!R13</f>
        <v>2146.1999999999998</v>
      </c>
      <c r="D12" s="154">
        <f>Data!T13</f>
        <v>2502.2199999999998</v>
      </c>
      <c r="E12" s="155">
        <f>Data!S13</f>
        <v>116.59</v>
      </c>
      <c r="F12" s="148" t="str">
        <f ca="1">VLOOKUP(B12,Data!$U$4:$W$116,3,FALSE)</f>
        <v/>
      </c>
      <c r="G12" s="153" t="str">
        <f>Data!P53</f>
        <v>TH-57C</v>
      </c>
      <c r="H12" s="153" t="str">
        <f>Data!U53</f>
        <v>112 (162674)</v>
      </c>
      <c r="I12" s="154">
        <f>Data!R53</f>
        <v>2147.3000000000002</v>
      </c>
      <c r="J12" s="154">
        <f>Data!T53</f>
        <v>2494.86</v>
      </c>
      <c r="K12" s="155">
        <f>Data!S53</f>
        <v>116.19</v>
      </c>
      <c r="L12" s="148" t="str">
        <f ca="1">VLOOKUP(H12,Data!$U$4:$W$116,3,FALSE)</f>
        <v/>
      </c>
      <c r="M12" s="156"/>
      <c r="N12" s="156"/>
      <c r="O12" s="157"/>
      <c r="P12" s="150"/>
      <c r="Q12" s="150"/>
      <c r="R12" s="150"/>
      <c r="S12" s="156"/>
      <c r="U12" s="158"/>
      <c r="V12" s="156"/>
    </row>
    <row r="13" spans="1:22" x14ac:dyDescent="0.25">
      <c r="A13" s="153" t="str">
        <f>Data!P14</f>
        <v>TH-57C</v>
      </c>
      <c r="B13" s="153" t="str">
        <f>Data!U14</f>
        <v>066 (162030)</v>
      </c>
      <c r="C13" s="154">
        <f>Data!R14</f>
        <v>2164.6</v>
      </c>
      <c r="D13" s="154">
        <f>Data!T14</f>
        <v>2519.61</v>
      </c>
      <c r="E13" s="155">
        <f>Data!S14</f>
        <v>116.4</v>
      </c>
      <c r="F13" s="148" t="str">
        <f ca="1">VLOOKUP(B13,Data!$U$4:$W$116,3,FALSE)</f>
        <v/>
      </c>
      <c r="G13" s="153" t="str">
        <f>Data!P54</f>
        <v>TH-57C</v>
      </c>
      <c r="H13" s="153" t="str">
        <f>Data!U54</f>
        <v>113 (162675)</v>
      </c>
      <c r="I13" s="154">
        <f>Data!R54</f>
        <v>2147.6999999999998</v>
      </c>
      <c r="J13" s="154">
        <f>Data!T54</f>
        <v>2499.3000000000002</v>
      </c>
      <c r="K13" s="155">
        <f>Data!S54</f>
        <v>116.37</v>
      </c>
      <c r="L13" s="148" t="str">
        <f ca="1">VLOOKUP(H13,Data!$U$4:$W$116,3,FALSE)</f>
        <v/>
      </c>
      <c r="M13" s="156"/>
      <c r="N13" s="156"/>
      <c r="O13" s="157"/>
      <c r="P13" s="150"/>
      <c r="Q13" s="150"/>
      <c r="R13" s="150"/>
      <c r="S13" s="156"/>
      <c r="U13" s="158"/>
      <c r="V13" s="156"/>
    </row>
    <row r="14" spans="1:22" x14ac:dyDescent="0.25">
      <c r="A14" s="153" t="str">
        <f>Data!P15</f>
        <v>TH-57C</v>
      </c>
      <c r="B14" s="153" t="str">
        <f>Data!U15</f>
        <v>067 (162031)</v>
      </c>
      <c r="C14" s="154">
        <f>Data!R15</f>
        <v>2171.5</v>
      </c>
      <c r="D14" s="154">
        <f>Data!T15</f>
        <v>2523.4299999999998</v>
      </c>
      <c r="E14" s="155">
        <f>Data!S15</f>
        <v>116.21</v>
      </c>
      <c r="F14" s="148" t="str">
        <f ca="1">VLOOKUP(B14,Data!$U$4:$W$116,3,FALSE)</f>
        <v>+</v>
      </c>
      <c r="G14" s="153" t="str">
        <f>Data!P55</f>
        <v>TH-57C</v>
      </c>
      <c r="H14" s="153" t="str">
        <f>Data!U55</f>
        <v>114 (162676)</v>
      </c>
      <c r="I14" s="154">
        <f>Data!R55</f>
        <v>2158.6999999999998</v>
      </c>
      <c r="J14" s="154">
        <f>Data!T55</f>
        <v>2521.59</v>
      </c>
      <c r="K14" s="155">
        <f>Data!S55</f>
        <v>116.81</v>
      </c>
      <c r="L14" s="148" t="str">
        <f ca="1">VLOOKUP(H14,Data!$U$4:$W$116,3,FALSE)</f>
        <v/>
      </c>
      <c r="M14" s="156"/>
      <c r="N14" s="156"/>
      <c r="O14" s="157"/>
      <c r="P14" s="150"/>
      <c r="Q14" s="150"/>
      <c r="R14" s="150"/>
      <c r="S14" s="156"/>
      <c r="U14" s="158"/>
      <c r="V14" s="156"/>
    </row>
    <row r="15" spans="1:22" x14ac:dyDescent="0.25">
      <c r="A15" s="153" t="str">
        <f>Data!P16</f>
        <v>TH-57C</v>
      </c>
      <c r="B15" s="153" t="str">
        <f>Data!U16</f>
        <v>069 (162033)</v>
      </c>
      <c r="C15" s="154">
        <f>Data!R16</f>
        <v>2138.1999999999998</v>
      </c>
      <c r="D15" s="154">
        <f>Data!T16</f>
        <v>2490.94</v>
      </c>
      <c r="E15" s="155">
        <f>Data!S16</f>
        <v>116.5</v>
      </c>
      <c r="F15" s="148" t="str">
        <f ca="1">VLOOKUP(B15,Data!$U$4:$W$116,3,FALSE)</f>
        <v/>
      </c>
      <c r="G15" s="153" t="str">
        <f>Data!P56</f>
        <v>TH-57C</v>
      </c>
      <c r="H15" s="153" t="str">
        <f>Data!U56</f>
        <v>115 (162677)</v>
      </c>
      <c r="I15" s="154">
        <f>Data!R56</f>
        <v>2150.3000000000002</v>
      </c>
      <c r="J15" s="154">
        <f>Data!T56</f>
        <v>2501.42</v>
      </c>
      <c r="K15" s="155">
        <f>Data!S56</f>
        <v>116.33</v>
      </c>
      <c r="L15" s="148" t="str">
        <f ca="1">VLOOKUP(H15,Data!$U$4:$W$116,3,FALSE)</f>
        <v/>
      </c>
      <c r="M15" s="156"/>
      <c r="N15" s="156"/>
      <c r="O15" s="157"/>
      <c r="P15" s="150"/>
      <c r="Q15" s="150"/>
      <c r="R15" s="150"/>
      <c r="S15" s="156"/>
      <c r="U15" s="158"/>
      <c r="V15" s="156"/>
    </row>
    <row r="16" spans="1:22" x14ac:dyDescent="0.25">
      <c r="A16" s="153" t="str">
        <f>Data!P17</f>
        <v>TH-57C</v>
      </c>
      <c r="B16" s="153" t="str">
        <f>Data!U17</f>
        <v>070 (162034)</v>
      </c>
      <c r="C16" s="154">
        <f>Data!R17</f>
        <v>2126.1999999999998</v>
      </c>
      <c r="D16" s="154">
        <f>Data!T17</f>
        <v>2471.41</v>
      </c>
      <c r="E16" s="155">
        <f>Data!S17</f>
        <v>116.24</v>
      </c>
      <c r="F16" s="148" t="str">
        <f ca="1">VLOOKUP(B16,Data!$U$4:$W$116,3,FALSE)</f>
        <v/>
      </c>
      <c r="G16" s="153" t="str">
        <f>Data!P57</f>
        <v>TH-57C</v>
      </c>
      <c r="H16" s="153" t="str">
        <f>Data!U57</f>
        <v>116 (162678)</v>
      </c>
      <c r="I16" s="154">
        <f>Data!R57</f>
        <v>2151.1999999999998</v>
      </c>
      <c r="J16" s="154">
        <f>Data!T57</f>
        <v>2504.98</v>
      </c>
      <c r="K16" s="155">
        <f>Data!S57</f>
        <v>116.45</v>
      </c>
      <c r="L16" s="148" t="str">
        <f ca="1">VLOOKUP(H16,Data!$U$4:$W$116,3,FALSE)</f>
        <v/>
      </c>
      <c r="M16" s="156"/>
      <c r="N16" s="156"/>
      <c r="O16" s="157"/>
      <c r="P16" s="150"/>
      <c r="Q16" s="150"/>
      <c r="R16" s="150"/>
      <c r="S16" s="156"/>
      <c r="U16" s="158"/>
      <c r="V16" s="156"/>
    </row>
    <row r="17" spans="1:22" x14ac:dyDescent="0.25">
      <c r="A17" s="153" t="str">
        <f>Data!P18</f>
        <v>TH-57C</v>
      </c>
      <c r="B17" s="153" t="str">
        <f>Data!U18</f>
        <v>071 (162035)</v>
      </c>
      <c r="C17" s="154">
        <f>Data!R18</f>
        <v>2146.6999999999998</v>
      </c>
      <c r="D17" s="154">
        <f>Data!T18</f>
        <v>2500</v>
      </c>
      <c r="E17" s="155">
        <f>Data!S18</f>
        <v>116.46</v>
      </c>
      <c r="F17" s="148" t="str">
        <f ca="1">VLOOKUP(B17,Data!$U$4:$W$116,3,FALSE)</f>
        <v/>
      </c>
      <c r="G17" s="153" t="str">
        <f>Data!P58</f>
        <v>TH-57C</v>
      </c>
      <c r="H17" s="153" t="str">
        <f>Data!U58</f>
        <v>117 (162679)</v>
      </c>
      <c r="I17" s="154">
        <f>Data!R58</f>
        <v>2155.1</v>
      </c>
      <c r="J17" s="154">
        <f>Data!T58</f>
        <v>2503.4899999999998</v>
      </c>
      <c r="K17" s="155">
        <f>Data!S58</f>
        <v>116.16</v>
      </c>
      <c r="L17" s="148" t="str">
        <f ca="1">VLOOKUP(H17,Data!$U$4:$W$116,3,FALSE)</f>
        <v/>
      </c>
      <c r="M17" s="156"/>
      <c r="N17" s="156"/>
      <c r="O17" s="157"/>
      <c r="P17" s="150"/>
      <c r="Q17" s="150"/>
      <c r="R17" s="150"/>
      <c r="S17" s="156"/>
      <c r="U17" s="158"/>
      <c r="V17" s="156"/>
    </row>
    <row r="18" spans="1:22" x14ac:dyDescent="0.25">
      <c r="A18" s="153" t="str">
        <f>Data!P19</f>
        <v>TH-57C</v>
      </c>
      <c r="B18" s="153" t="str">
        <f>Data!U19</f>
        <v>072 (162036)</v>
      </c>
      <c r="C18" s="154">
        <f>Data!R19</f>
        <v>2159.1999999999998</v>
      </c>
      <c r="D18" s="154">
        <f>Data!T19</f>
        <v>2522.4899999999998</v>
      </c>
      <c r="E18" s="155">
        <f>Data!S19</f>
        <v>116.83</v>
      </c>
      <c r="F18" s="148" t="str">
        <f ca="1">VLOOKUP(B18,Data!$U$4:$W$116,3,FALSE)</f>
        <v/>
      </c>
      <c r="G18" s="153" t="str">
        <f>Data!P59</f>
        <v>TH-57C</v>
      </c>
      <c r="H18" s="153" t="str">
        <f>Data!U59</f>
        <v>118 (162680)</v>
      </c>
      <c r="I18" s="154">
        <f>Data!R59</f>
        <v>2146.1</v>
      </c>
      <c r="J18" s="154">
        <f>Data!T59</f>
        <v>2498.1799999999998</v>
      </c>
      <c r="K18" s="155">
        <f>Data!S59</f>
        <v>116.4</v>
      </c>
      <c r="L18" s="148" t="str">
        <f ca="1">VLOOKUP(H18,Data!$U$4:$W$116,3,FALSE)</f>
        <v/>
      </c>
      <c r="M18" s="156"/>
      <c r="N18" s="156"/>
      <c r="O18" s="157"/>
      <c r="P18" s="150"/>
      <c r="Q18" s="150"/>
      <c r="R18" s="150"/>
      <c r="S18" s="156"/>
      <c r="U18" s="158"/>
      <c r="V18" s="156"/>
    </row>
    <row r="19" spans="1:22" x14ac:dyDescent="0.25">
      <c r="A19" s="153" t="str">
        <f>Data!P20</f>
        <v>TH-57C</v>
      </c>
      <c r="B19" s="153" t="str">
        <f>Data!U20</f>
        <v>074 (162038)</v>
      </c>
      <c r="C19" s="154">
        <f>Data!R20</f>
        <v>2158.6999999999998</v>
      </c>
      <c r="D19" s="154">
        <f>Data!T20</f>
        <v>2527.83</v>
      </c>
      <c r="E19" s="155">
        <f>Data!S20</f>
        <v>117.1</v>
      </c>
      <c r="F19" s="148" t="str">
        <f ca="1">VLOOKUP(B19,Data!$U$4:$W$116,3,FALSE)</f>
        <v/>
      </c>
      <c r="G19" s="153" t="str">
        <f>Data!P60</f>
        <v>TH-57C</v>
      </c>
      <c r="H19" s="153" t="str">
        <f>Data!U60</f>
        <v>120 (162682)</v>
      </c>
      <c r="I19" s="154">
        <f>Data!R60</f>
        <v>2135.8000000000002</v>
      </c>
      <c r="J19" s="154">
        <f>Data!T60</f>
        <v>2496.2199999999998</v>
      </c>
      <c r="K19" s="155">
        <f>Data!S60</f>
        <v>116.87</v>
      </c>
      <c r="L19" s="148" t="str">
        <f ca="1">VLOOKUP(H19,Data!$U$4:$W$116,3,FALSE)</f>
        <v/>
      </c>
      <c r="M19" s="156"/>
      <c r="N19" s="156"/>
      <c r="O19" s="157"/>
      <c r="P19" s="150"/>
      <c r="Q19" s="150"/>
      <c r="R19" s="150"/>
      <c r="S19" s="156"/>
      <c r="U19" s="158"/>
      <c r="V19" s="156"/>
    </row>
    <row r="20" spans="1:22" x14ac:dyDescent="0.25">
      <c r="A20" s="153" t="str">
        <f>Data!P21</f>
        <v>TH-57C</v>
      </c>
      <c r="B20" s="153" t="str">
        <f>Data!U21</f>
        <v>075 (162039)</v>
      </c>
      <c r="C20" s="154">
        <f>Data!R21</f>
        <v>2140.6999999999998</v>
      </c>
      <c r="D20" s="154">
        <f>Data!T21</f>
        <v>2475.48</v>
      </c>
      <c r="E20" s="155">
        <f>Data!S21</f>
        <v>115.64</v>
      </c>
      <c r="F20" s="148" t="str">
        <f ca="1">VLOOKUP(B20,Data!$U$4:$W$116,3,FALSE)</f>
        <v/>
      </c>
      <c r="G20" s="153" t="str">
        <f>Data!P61</f>
        <v>TH-57C</v>
      </c>
      <c r="H20" s="153" t="str">
        <f>Data!U61</f>
        <v>121 (162683)</v>
      </c>
      <c r="I20" s="154">
        <f>Data!R61</f>
        <v>2153.3000000000002</v>
      </c>
      <c r="J20" s="154">
        <f>Data!T61</f>
        <v>2504.0500000000002</v>
      </c>
      <c r="K20" s="155">
        <f>Data!S61</f>
        <v>116.29</v>
      </c>
      <c r="L20" s="148" t="str">
        <f ca="1">VLOOKUP(H20,Data!$U$4:$W$116,3,FALSE)</f>
        <v/>
      </c>
      <c r="M20" s="156"/>
      <c r="N20" s="156"/>
      <c r="O20" s="157"/>
      <c r="P20" s="150"/>
      <c r="Q20" s="150"/>
      <c r="R20" s="150"/>
      <c r="S20" s="156"/>
      <c r="U20" s="158"/>
      <c r="V20" s="156"/>
    </row>
    <row r="21" spans="1:22" x14ac:dyDescent="0.25">
      <c r="A21" s="153" t="str">
        <f>Data!P22</f>
        <v>TH-57C</v>
      </c>
      <c r="B21" s="153" t="str">
        <f>Data!U22</f>
        <v>076 (162040)</v>
      </c>
      <c r="C21" s="154">
        <f>Data!R22</f>
        <v>2137.1999999999998</v>
      </c>
      <c r="D21" s="154">
        <f>Data!T22</f>
        <v>2499.75</v>
      </c>
      <c r="E21" s="155">
        <f>Data!S22</f>
        <v>116.96</v>
      </c>
      <c r="F21" s="148" t="str">
        <f ca="1">VLOOKUP(B21,Data!$U$4:$W$116,3,FALSE)</f>
        <v/>
      </c>
      <c r="G21" s="153" t="str">
        <f>Data!P62</f>
        <v>TH-57C</v>
      </c>
      <c r="H21" s="153" t="str">
        <f>Data!U62</f>
        <v>122 (162684)</v>
      </c>
      <c r="I21" s="154">
        <f>Data!R62</f>
        <v>2132.6999999999998</v>
      </c>
      <c r="J21" s="154">
        <f>Data!T62</f>
        <v>2482.92</v>
      </c>
      <c r="K21" s="155">
        <f>Data!S62</f>
        <v>116.42</v>
      </c>
      <c r="L21" s="148" t="str">
        <f ca="1">VLOOKUP(H21,Data!$U$4:$W$116,3,FALSE)</f>
        <v/>
      </c>
      <c r="M21" s="156"/>
      <c r="N21" s="156"/>
      <c r="O21" s="157"/>
      <c r="P21" s="150"/>
      <c r="Q21" s="150"/>
      <c r="R21" s="150"/>
      <c r="S21" s="156"/>
      <c r="U21" s="158"/>
      <c r="V21" s="156"/>
    </row>
    <row r="22" spans="1:22" x14ac:dyDescent="0.25">
      <c r="A22" s="153" t="str">
        <f>Data!P23</f>
        <v>TH-57C</v>
      </c>
      <c r="B22" s="153" t="str">
        <f>Data!U23</f>
        <v>077 (162041)</v>
      </c>
      <c r="C22" s="154">
        <f>Data!R23</f>
        <v>2149.6</v>
      </c>
      <c r="D22" s="154">
        <f>Data!T23</f>
        <v>2499.92</v>
      </c>
      <c r="E22" s="155">
        <f>Data!S23</f>
        <v>116.3</v>
      </c>
      <c r="F22" s="148" t="str">
        <f ca="1">VLOOKUP(B22,Data!$U$4:$W$116,3,FALSE)</f>
        <v/>
      </c>
      <c r="G22" s="153" t="str">
        <f>Data!P63</f>
        <v>TH-57C</v>
      </c>
      <c r="H22" s="153" t="str">
        <f>Data!U63</f>
        <v>125 (162811)</v>
      </c>
      <c r="I22" s="154">
        <f>Data!R63</f>
        <v>2143.1999999999998</v>
      </c>
      <c r="J22" s="154">
        <f>Data!T63</f>
        <v>2501.81</v>
      </c>
      <c r="K22" s="155">
        <f>Data!S63</f>
        <v>116.73</v>
      </c>
      <c r="L22" s="148" t="str">
        <f ca="1">VLOOKUP(H22,Data!$U$4:$W$116,3,FALSE)</f>
        <v/>
      </c>
      <c r="M22" s="156"/>
      <c r="N22" s="156"/>
      <c r="O22" s="157"/>
      <c r="P22" s="150"/>
      <c r="Q22" s="150"/>
      <c r="R22" s="150"/>
      <c r="S22" s="156"/>
      <c r="U22" s="158"/>
      <c r="V22" s="156"/>
    </row>
    <row r="23" spans="1:22" x14ac:dyDescent="0.25">
      <c r="A23" s="153" t="str">
        <f>Data!P24</f>
        <v>TH-57C</v>
      </c>
      <c r="B23" s="153" t="str">
        <f>Data!U24</f>
        <v>078 (162042)</v>
      </c>
      <c r="C23" s="154">
        <f>Data!R24</f>
        <v>2148.3000000000002</v>
      </c>
      <c r="D23" s="154">
        <f>Data!T24</f>
        <v>2490.2600000000002</v>
      </c>
      <c r="E23" s="155">
        <f>Data!S24</f>
        <v>115.92</v>
      </c>
      <c r="F23" s="148" t="str">
        <f ca="1">VLOOKUP(B23,Data!$U$4:$W$116,3,FALSE)</f>
        <v/>
      </c>
      <c r="G23" s="153" t="str">
        <f>Data!P64</f>
        <v>TH-57C</v>
      </c>
      <c r="H23" s="153" t="str">
        <f>Data!U64</f>
        <v>126 (162812)</v>
      </c>
      <c r="I23" s="154">
        <f>Data!R64</f>
        <v>2142.1999999999998</v>
      </c>
      <c r="J23" s="154">
        <f>Data!T64</f>
        <v>2488.81</v>
      </c>
      <c r="K23" s="155">
        <f>Data!S64</f>
        <v>116.18</v>
      </c>
      <c r="L23" s="148" t="str">
        <f ca="1">VLOOKUP(H23,Data!$U$4:$W$116,3,FALSE)</f>
        <v/>
      </c>
      <c r="M23" s="156"/>
      <c r="N23" s="156"/>
      <c r="O23" s="157"/>
      <c r="P23" s="150"/>
      <c r="Q23" s="150"/>
      <c r="R23" s="150"/>
      <c r="S23" s="156"/>
      <c r="U23" s="158"/>
      <c r="V23" s="156"/>
    </row>
    <row r="24" spans="1:22" x14ac:dyDescent="0.25">
      <c r="A24" s="153" t="str">
        <f>Data!P25</f>
        <v>TH-57C</v>
      </c>
      <c r="B24" s="153" t="str">
        <f>Data!U25</f>
        <v>079 (162043)</v>
      </c>
      <c r="C24" s="154">
        <f>Data!R25</f>
        <v>2147.6999999999998</v>
      </c>
      <c r="D24" s="154">
        <f>Data!T25</f>
        <v>2504.92</v>
      </c>
      <c r="E24" s="155">
        <f>Data!S25</f>
        <v>116.63</v>
      </c>
      <c r="F24" s="148" t="str">
        <f ca="1">VLOOKUP(B24,Data!$U$4:$W$116,3,FALSE)</f>
        <v/>
      </c>
      <c r="G24" s="153" t="str">
        <f>Data!P65</f>
        <v>TH-57C</v>
      </c>
      <c r="H24" s="153" t="str">
        <f>Data!U65</f>
        <v>128 (162814)</v>
      </c>
      <c r="I24" s="154">
        <f>Data!R65</f>
        <v>2157.1999999999998</v>
      </c>
      <c r="J24" s="154">
        <f>Data!T65</f>
        <v>2513.2800000000002</v>
      </c>
      <c r="K24" s="155">
        <f>Data!S65</f>
        <v>116.51</v>
      </c>
      <c r="L24" s="148" t="str">
        <f ca="1">VLOOKUP(H24,Data!$U$4:$W$116,3,FALSE)</f>
        <v/>
      </c>
      <c r="M24" s="156"/>
      <c r="N24" s="156"/>
      <c r="O24" s="157"/>
      <c r="P24" s="150"/>
      <c r="Q24" s="150"/>
      <c r="R24" s="150"/>
      <c r="S24" s="156"/>
      <c r="U24" s="158"/>
      <c r="V24" s="156"/>
    </row>
    <row r="25" spans="1:22" x14ac:dyDescent="0.25">
      <c r="A25" s="153" t="str">
        <f>Data!P26</f>
        <v>TH-57C</v>
      </c>
      <c r="B25" s="153" t="str">
        <f>Data!U26</f>
        <v>080 (162044)</v>
      </c>
      <c r="C25" s="154">
        <f>Data!R26</f>
        <v>2150</v>
      </c>
      <c r="D25" s="154">
        <f>Data!T26</f>
        <v>2497.1999999999998</v>
      </c>
      <c r="E25" s="155">
        <f>Data!S26</f>
        <v>116.15</v>
      </c>
      <c r="F25" s="148" t="str">
        <f ca="1">VLOOKUP(B25,Data!$U$4:$W$116,3,FALSE)</f>
        <v/>
      </c>
      <c r="G25" s="153" t="str">
        <f>Data!P66</f>
        <v>TH-57C</v>
      </c>
      <c r="H25" s="153" t="str">
        <f>Data!U66</f>
        <v>129 (162815)</v>
      </c>
      <c r="I25" s="154">
        <f>Data!R66</f>
        <v>2166.1</v>
      </c>
      <c r="J25" s="154">
        <f>Data!T66</f>
        <v>2512.96</v>
      </c>
      <c r="K25" s="155">
        <f>Data!S66</f>
        <v>116.01</v>
      </c>
      <c r="L25" s="148" t="str">
        <f ca="1">VLOOKUP(H25,Data!$U$4:$W$116,3,FALSE)</f>
        <v/>
      </c>
      <c r="M25" s="156"/>
      <c r="N25" s="156"/>
      <c r="O25" s="157"/>
      <c r="P25" s="150"/>
      <c r="Q25" s="150"/>
      <c r="R25" s="150"/>
      <c r="S25" s="156"/>
      <c r="U25" s="158"/>
      <c r="V25" s="156"/>
    </row>
    <row r="26" spans="1:22" x14ac:dyDescent="0.25">
      <c r="A26" s="153" t="str">
        <f>Data!P27</f>
        <v>TH-57C</v>
      </c>
      <c r="B26" s="153" t="str">
        <f>Data!U27</f>
        <v>082 (162046)</v>
      </c>
      <c r="C26" s="154">
        <f>Data!R27</f>
        <v>2157.1999999999998</v>
      </c>
      <c r="D26" s="154">
        <f>Data!T27</f>
        <v>2513.2800000000002</v>
      </c>
      <c r="E26" s="155">
        <f>Data!S27</f>
        <v>116.51</v>
      </c>
      <c r="F26" s="148" t="str">
        <f ca="1">VLOOKUP(B26,Data!$U$4:$W$116,3,FALSE)</f>
        <v/>
      </c>
      <c r="G26" s="153" t="str">
        <f>Data!P67</f>
        <v>TH-57C</v>
      </c>
      <c r="H26" s="153" t="str">
        <f>Data!U67</f>
        <v>130 (162816)</v>
      </c>
      <c r="I26" s="154">
        <f>Data!R67</f>
        <v>2151.1999999999998</v>
      </c>
      <c r="J26" s="154">
        <f>Data!T67</f>
        <v>2499.9899999999998</v>
      </c>
      <c r="K26" s="155">
        <f>Data!S67</f>
        <v>116.21</v>
      </c>
      <c r="L26" s="148" t="str">
        <f ca="1">VLOOKUP(H26,Data!$U$4:$W$116,3,FALSE)</f>
        <v/>
      </c>
      <c r="M26" s="156"/>
      <c r="N26" s="156"/>
      <c r="O26" s="157"/>
      <c r="P26" s="150"/>
      <c r="Q26" s="150"/>
      <c r="R26" s="150"/>
      <c r="S26" s="156"/>
      <c r="U26" s="158"/>
      <c r="V26" s="156"/>
    </row>
    <row r="27" spans="1:22" x14ac:dyDescent="0.25">
      <c r="A27" s="153" t="str">
        <f>Data!P28</f>
        <v>TH-57C</v>
      </c>
      <c r="B27" s="153" t="str">
        <f>Data!U28</f>
        <v>083 (162047)</v>
      </c>
      <c r="C27" s="154">
        <f>Data!R28</f>
        <v>2162.1999999999998</v>
      </c>
      <c r="D27" s="154">
        <f>Data!T28</f>
        <v>2515.41</v>
      </c>
      <c r="E27" s="155">
        <f>Data!S28</f>
        <v>116.34</v>
      </c>
      <c r="F27" s="148" t="str">
        <f ca="1">VLOOKUP(B27,Data!$U$4:$W$116,3,FALSE)</f>
        <v/>
      </c>
      <c r="G27" s="153" t="str">
        <f>Data!P68</f>
        <v>TH-57C</v>
      </c>
      <c r="H27" s="153" t="str">
        <f>Data!U68</f>
        <v>131 (162817)</v>
      </c>
      <c r="I27" s="154">
        <f>Data!R68</f>
        <v>2127.9</v>
      </c>
      <c r="J27" s="154">
        <f>Data!T68</f>
        <v>2508.8200000000002</v>
      </c>
      <c r="K27" s="155">
        <f>Data!S68</f>
        <v>117.9</v>
      </c>
      <c r="L27" s="148" t="str">
        <f ca="1">VLOOKUP(H27,Data!$U$4:$W$116,3,FALSE)</f>
        <v>+++</v>
      </c>
      <c r="M27" s="156"/>
      <c r="N27" s="156"/>
      <c r="O27" s="157"/>
      <c r="P27" s="150"/>
      <c r="Q27" s="150"/>
      <c r="R27" s="150"/>
      <c r="S27" s="156"/>
      <c r="U27" s="158"/>
      <c r="V27" s="156"/>
    </row>
    <row r="28" spans="1:22" x14ac:dyDescent="0.25">
      <c r="A28" s="153" t="str">
        <f>Data!P29</f>
        <v>TH-57C</v>
      </c>
      <c r="B28" s="153" t="str">
        <f>Data!U29</f>
        <v>084 (162048)</v>
      </c>
      <c r="C28" s="154">
        <f>Data!R29</f>
        <v>2131.3000000000002</v>
      </c>
      <c r="D28" s="154">
        <f>Data!T29</f>
        <v>2475.36</v>
      </c>
      <c r="E28" s="155">
        <f>Data!S29</f>
        <v>116.14</v>
      </c>
      <c r="F28" s="148" t="str">
        <f ca="1">VLOOKUP(B28,Data!$U$4:$W$116,3,FALSE)</f>
        <v/>
      </c>
      <c r="G28" s="153" t="str">
        <f>Data!P69</f>
        <v>TH-57C</v>
      </c>
      <c r="H28" s="153" t="str">
        <f>Data!U69</f>
        <v>133 (162819)</v>
      </c>
      <c r="I28" s="154">
        <f>Data!R69</f>
        <v>2157.1999999999998</v>
      </c>
      <c r="J28" s="154">
        <f>Data!T69</f>
        <v>2507.56</v>
      </c>
      <c r="K28" s="155">
        <f>Data!S69</f>
        <v>116.24</v>
      </c>
      <c r="L28" s="148" t="str">
        <f ca="1">VLOOKUP(H28,Data!$U$4:$W$116,3,FALSE)</f>
        <v/>
      </c>
      <c r="M28" s="156"/>
      <c r="N28" s="156"/>
      <c r="O28" s="157"/>
      <c r="P28" s="150"/>
      <c r="Q28" s="150"/>
      <c r="R28" s="150"/>
      <c r="S28" s="156"/>
      <c r="U28" s="158"/>
      <c r="V28" s="156"/>
    </row>
    <row r="29" spans="1:22" x14ac:dyDescent="0.25">
      <c r="A29" s="153" t="str">
        <f>Data!P30</f>
        <v>TH-57C</v>
      </c>
      <c r="B29" s="153" t="str">
        <f>Data!U30</f>
        <v>085 (162049)</v>
      </c>
      <c r="C29" s="154">
        <f>Data!R30</f>
        <v>2157.1999999999998</v>
      </c>
      <c r="D29" s="154">
        <f>Data!T30</f>
        <v>2502.0500000000002</v>
      </c>
      <c r="E29" s="155">
        <f>Data!S30</f>
        <v>115.99</v>
      </c>
      <c r="F29" s="148" t="str">
        <f ca="1">VLOOKUP(B29,Data!$U$4:$W$116,3,FALSE)</f>
        <v/>
      </c>
      <c r="G29" s="153" t="str">
        <f>Data!P70</f>
        <v>TH-57C</v>
      </c>
      <c r="H29" s="153" t="str">
        <f>Data!U70</f>
        <v>134 (162820)</v>
      </c>
      <c r="I29" s="154">
        <f>Data!R70</f>
        <v>2143.1999999999998</v>
      </c>
      <c r="J29" s="154">
        <f>Data!T70</f>
        <v>2484.9699999999998</v>
      </c>
      <c r="K29" s="155">
        <f>Data!S70</f>
        <v>115.95</v>
      </c>
      <c r="L29" s="148" t="str">
        <f ca="1">VLOOKUP(H29,Data!$U$4:$W$116,3,FALSE)</f>
        <v/>
      </c>
      <c r="M29" s="156"/>
      <c r="N29" s="156"/>
      <c r="O29" s="157"/>
      <c r="P29" s="150"/>
      <c r="Q29" s="150"/>
      <c r="R29" s="150"/>
      <c r="S29" s="156"/>
      <c r="U29" s="158"/>
      <c r="V29" s="156"/>
    </row>
    <row r="30" spans="1:22" x14ac:dyDescent="0.25">
      <c r="A30" s="153" t="str">
        <f>Data!P31</f>
        <v>TH-57C</v>
      </c>
      <c r="B30" s="153" t="str">
        <f>Data!U31</f>
        <v>086 (162050)</v>
      </c>
      <c r="C30" s="154">
        <f>Data!R31</f>
        <v>2153.1999999999998</v>
      </c>
      <c r="D30" s="154">
        <f>Data!T31</f>
        <v>2498.59</v>
      </c>
      <c r="E30" s="155">
        <f>Data!S31</f>
        <v>116.04</v>
      </c>
      <c r="F30" s="148" t="str">
        <f ca="1">VLOOKUP(B30,Data!$U$4:$W$116,3,FALSE)</f>
        <v/>
      </c>
      <c r="G30" s="153" t="str">
        <f>Data!P71</f>
        <v>TH-57C</v>
      </c>
      <c r="H30" s="153" t="str">
        <f>Data!U71</f>
        <v>135 (162821)</v>
      </c>
      <c r="I30" s="154">
        <f>Data!R71</f>
        <v>2159.5</v>
      </c>
      <c r="J30" s="154">
        <f>Data!T71</f>
        <v>2508.5300000000002</v>
      </c>
      <c r="K30" s="155">
        <f>Data!S71</f>
        <v>116.16</v>
      </c>
      <c r="L30" s="148" t="str">
        <f ca="1">VLOOKUP(H30,Data!$U$4:$W$116,3,FALSE)</f>
        <v/>
      </c>
      <c r="M30" s="156"/>
      <c r="N30" s="156"/>
      <c r="O30" s="157"/>
      <c r="P30" s="150"/>
      <c r="Q30" s="150"/>
      <c r="R30" s="150"/>
      <c r="S30" s="156"/>
      <c r="U30" s="158"/>
      <c r="V30" s="156"/>
    </row>
    <row r="31" spans="1:22" x14ac:dyDescent="0.25">
      <c r="A31" s="153" t="str">
        <f>Data!P32</f>
        <v>TH-57C</v>
      </c>
      <c r="B31" s="153" t="str">
        <f>Data!U32</f>
        <v>087 (162051)</v>
      </c>
      <c r="C31" s="154">
        <f>Data!R32</f>
        <v>2163.6999999999998</v>
      </c>
      <c r="D31" s="154">
        <f>Data!T32</f>
        <v>2508.75</v>
      </c>
      <c r="E31" s="155">
        <f>Data!S32</f>
        <v>115.95</v>
      </c>
      <c r="F31" s="148" t="str">
        <f ca="1">VLOOKUP(B31,Data!$U$4:$W$116,3,FALSE)</f>
        <v/>
      </c>
      <c r="G31" s="153" t="str">
        <f>Data!P72</f>
        <v>TH-57C</v>
      </c>
      <c r="H31" s="153" t="str">
        <f>Data!U72</f>
        <v>136 (162822)</v>
      </c>
      <c r="I31" s="154">
        <f>Data!R72</f>
        <v>2155.6999999999998</v>
      </c>
      <c r="J31" s="154">
        <f>Data!T72</f>
        <v>2511.5700000000002</v>
      </c>
      <c r="K31" s="155">
        <f>Data!S72</f>
        <v>116.51</v>
      </c>
      <c r="L31" s="148" t="str">
        <f ca="1">VLOOKUP(H31,Data!$U$4:$W$116,3,FALSE)</f>
        <v/>
      </c>
      <c r="M31" s="156"/>
      <c r="N31" s="156"/>
      <c r="O31" s="157"/>
      <c r="P31" s="150"/>
      <c r="Q31" s="150"/>
      <c r="R31" s="150"/>
      <c r="S31" s="156"/>
      <c r="U31" s="158"/>
      <c r="V31" s="156"/>
    </row>
    <row r="32" spans="1:22" x14ac:dyDescent="0.25">
      <c r="A32" s="153" t="str">
        <f>Data!P33</f>
        <v>TH-57C</v>
      </c>
      <c r="B32" s="153" t="str">
        <f>Data!U33</f>
        <v>088 (162052)</v>
      </c>
      <c r="C32" s="154">
        <f>Data!R33</f>
        <v>2158.1999999999998</v>
      </c>
      <c r="D32" s="154">
        <f>Data!T33</f>
        <v>2509.46</v>
      </c>
      <c r="E32" s="155">
        <f>Data!S33</f>
        <v>116.28</v>
      </c>
      <c r="F32" s="148" t="str">
        <f ca="1">VLOOKUP(B32,Data!$U$4:$W$116,3,FALSE)</f>
        <v/>
      </c>
      <c r="G32" s="184" t="str">
        <f>Data!P73</f>
        <v>TH-57C</v>
      </c>
      <c r="H32" s="184" t="str">
        <f>Data!U73</f>
        <v>137 (162823)</v>
      </c>
      <c r="I32" s="185">
        <f>Data!R73</f>
        <v>2140.3000000000002</v>
      </c>
      <c r="J32" s="185">
        <f>Data!T73</f>
        <v>2484.8000000000002</v>
      </c>
      <c r="K32" s="186">
        <f>Data!S73</f>
        <v>116.09</v>
      </c>
      <c r="L32" s="148" t="str">
        <f ca="1">VLOOKUP(H32,Data!$U$4:$W$116,3,FALSE)</f>
        <v/>
      </c>
      <c r="M32" s="156"/>
      <c r="N32" s="156"/>
      <c r="O32" s="157"/>
      <c r="P32" s="150"/>
      <c r="Q32" s="150"/>
      <c r="R32" s="150"/>
      <c r="S32" s="156"/>
      <c r="U32" s="158"/>
      <c r="V32" s="156"/>
    </row>
    <row r="33" spans="1:22" x14ac:dyDescent="0.25">
      <c r="A33" s="153" t="str">
        <f>Data!P34</f>
        <v>TH-57C</v>
      </c>
      <c r="B33" s="153" t="str">
        <f>Data!U34</f>
        <v>089 (162053)</v>
      </c>
      <c r="C33" s="154">
        <f>Data!R34</f>
        <v>2157.6999999999998</v>
      </c>
      <c r="D33" s="154">
        <f>Data!T34</f>
        <v>2511.6799999999998</v>
      </c>
      <c r="E33" s="155">
        <f>Data!S34</f>
        <v>116.41</v>
      </c>
      <c r="F33" s="148" t="str">
        <f ca="1">VLOOKUP(B33,Data!$U$4:$W$116,3,FALSE)</f>
        <v/>
      </c>
      <c r="G33" s="187"/>
      <c r="H33" s="187"/>
      <c r="I33" s="191"/>
      <c r="J33" s="191"/>
      <c r="K33" s="192"/>
      <c r="M33" s="156"/>
      <c r="N33" s="156"/>
      <c r="O33" s="157"/>
      <c r="P33" s="150"/>
      <c r="Q33" s="150"/>
      <c r="R33" s="150"/>
      <c r="S33" s="156"/>
      <c r="U33" s="158"/>
      <c r="V33" s="156"/>
    </row>
    <row r="34" spans="1:22" x14ac:dyDescent="0.25">
      <c r="A34" s="153" t="str">
        <f>Data!P35</f>
        <v>TH-57C</v>
      </c>
      <c r="B34" s="153" t="str">
        <f>Data!U35</f>
        <v>090 (162054)</v>
      </c>
      <c r="C34" s="154">
        <f>Data!R35</f>
        <v>2166.1999999999998</v>
      </c>
      <c r="D34" s="154">
        <f>Data!T35</f>
        <v>2499.5300000000002</v>
      </c>
      <c r="E34" s="155">
        <f>Data!S35</f>
        <v>115.39</v>
      </c>
      <c r="F34" s="148" t="str">
        <f ca="1">VLOOKUP(B34,Data!$U$4:$W$116,3,FALSE)</f>
        <v>++</v>
      </c>
      <c r="G34" s="188"/>
      <c r="H34" s="188"/>
      <c r="I34" s="189"/>
      <c r="J34" s="189"/>
      <c r="K34" s="190"/>
      <c r="M34" s="156"/>
      <c r="N34" s="156"/>
      <c r="O34" s="157"/>
      <c r="P34" s="150"/>
      <c r="Q34" s="150"/>
      <c r="R34" s="150"/>
      <c r="S34" s="156"/>
      <c r="U34" s="158"/>
      <c r="V34" s="156"/>
    </row>
    <row r="35" spans="1:22" x14ac:dyDescent="0.25">
      <c r="A35" s="153" t="str">
        <f>Data!P36</f>
        <v>TH-57C</v>
      </c>
      <c r="B35" s="153" t="str">
        <f>Data!U36</f>
        <v>093 (162057)</v>
      </c>
      <c r="C35" s="154">
        <f>Data!R36</f>
        <v>2150.1999999999998</v>
      </c>
      <c r="D35" s="154">
        <f>Data!T36</f>
        <v>2503.1799999999998</v>
      </c>
      <c r="E35" s="155">
        <f>Data!S36</f>
        <v>116.42</v>
      </c>
      <c r="F35" s="148" t="str">
        <f ca="1">VLOOKUP(B35,Data!$U$4:$W$116,3,FALSE)</f>
        <v/>
      </c>
      <c r="L35" s="158"/>
      <c r="M35" s="156"/>
      <c r="N35" s="156"/>
      <c r="O35" s="157"/>
      <c r="P35" s="150"/>
      <c r="Q35" s="150"/>
      <c r="R35" s="150"/>
      <c r="S35" s="156"/>
      <c r="U35" s="158"/>
      <c r="V35" s="156"/>
    </row>
    <row r="36" spans="1:22" x14ac:dyDescent="0.25">
      <c r="A36" s="153" t="str">
        <f>Data!P37</f>
        <v>TH-57C</v>
      </c>
      <c r="B36" s="153" t="str">
        <f>Data!U37</f>
        <v>094 (162058)</v>
      </c>
      <c r="C36" s="154">
        <f>Data!R37</f>
        <v>2155.3000000000002</v>
      </c>
      <c r="D36" s="154">
        <f>Data!T37</f>
        <v>2510.0500000000002</v>
      </c>
      <c r="E36" s="155">
        <f>Data!S37</f>
        <v>116.46</v>
      </c>
      <c r="F36" s="148" t="str">
        <f ca="1">VLOOKUP(B36,Data!$U$4:$W$116,3,FALSE)</f>
        <v/>
      </c>
      <c r="H36" s="156"/>
      <c r="I36" s="157"/>
      <c r="J36" s="158"/>
      <c r="K36" s="159"/>
      <c r="L36" s="158"/>
      <c r="M36" s="156"/>
      <c r="N36" s="156"/>
      <c r="O36" s="157"/>
      <c r="P36" s="150"/>
      <c r="Q36" s="150"/>
      <c r="R36" s="150"/>
      <c r="S36" s="156"/>
      <c r="U36" s="158"/>
      <c r="V36" s="156"/>
    </row>
    <row r="37" spans="1:22" x14ac:dyDescent="0.25">
      <c r="A37" s="153" t="str">
        <f>Data!P38</f>
        <v>TH-57C</v>
      </c>
      <c r="B37" s="153" t="str">
        <f>Data!U38</f>
        <v>095 (162059)</v>
      </c>
      <c r="C37" s="154">
        <f>Data!R38</f>
        <v>2167.6</v>
      </c>
      <c r="D37" s="154">
        <f>Data!T38</f>
        <v>2515.27</v>
      </c>
      <c r="E37" s="155">
        <f>Data!S38</f>
        <v>116.04</v>
      </c>
      <c r="F37" s="148" t="str">
        <f ca="1">VLOOKUP(B37,Data!$U$4:$W$116,3,FALSE)</f>
        <v/>
      </c>
      <c r="H37" s="156"/>
      <c r="I37" s="157"/>
      <c r="J37" s="158"/>
      <c r="K37" s="159"/>
      <c r="L37" s="158"/>
      <c r="M37" s="156"/>
      <c r="N37" s="156"/>
      <c r="O37" s="157"/>
      <c r="P37" s="150"/>
      <c r="Q37" s="150"/>
      <c r="R37" s="150"/>
      <c r="S37" s="156"/>
      <c r="U37" s="158"/>
      <c r="V37" s="156"/>
    </row>
    <row r="38" spans="1:22" x14ac:dyDescent="0.25">
      <c r="A38" s="153" t="str">
        <f>Data!P39</f>
        <v>TH-57C</v>
      </c>
      <c r="B38" s="153" t="str">
        <f>Data!U39</f>
        <v>096 (162060)</v>
      </c>
      <c r="C38" s="154">
        <f>Data!R39</f>
        <v>2163</v>
      </c>
      <c r="D38" s="154">
        <f>Data!T39</f>
        <v>2514.94</v>
      </c>
      <c r="E38" s="155">
        <f>Data!S39</f>
        <v>116.27</v>
      </c>
      <c r="F38" s="148" t="str">
        <f ca="1">VLOOKUP(B38,Data!$U$4:$W$116,3,FALSE)</f>
        <v/>
      </c>
      <c r="H38" s="156"/>
      <c r="I38" s="157"/>
      <c r="J38" s="158"/>
      <c r="K38" s="159"/>
      <c r="L38" s="158"/>
      <c r="M38" s="156"/>
      <c r="N38" s="156"/>
      <c r="O38" s="157"/>
      <c r="P38" s="150"/>
      <c r="Q38" s="150"/>
      <c r="R38" s="150"/>
      <c r="S38" s="156"/>
      <c r="U38" s="158"/>
      <c r="V38" s="156"/>
    </row>
    <row r="39" spans="1:22" x14ac:dyDescent="0.25">
      <c r="A39" s="153" t="str">
        <f>Data!P40</f>
        <v>TH-57C</v>
      </c>
      <c r="B39" s="153" t="str">
        <f>Data!U40</f>
        <v>097 (162061)</v>
      </c>
      <c r="C39" s="154">
        <f>Data!R40</f>
        <v>2148.1999999999998</v>
      </c>
      <c r="D39" s="154">
        <f>Data!T40</f>
        <v>2491.4699999999998</v>
      </c>
      <c r="E39" s="155">
        <f>Data!S40</f>
        <v>115.98</v>
      </c>
      <c r="F39" s="148" t="str">
        <f ca="1">VLOOKUP(B39,Data!$U$4:$W$116,3,FALSE)</f>
        <v/>
      </c>
      <c r="H39" s="156"/>
      <c r="I39" s="157"/>
      <c r="J39" s="158"/>
      <c r="K39" s="159"/>
      <c r="L39" s="158"/>
      <c r="M39" s="156"/>
      <c r="N39" s="156"/>
      <c r="O39" s="157"/>
      <c r="P39" s="150"/>
      <c r="Q39" s="150"/>
      <c r="R39" s="150"/>
      <c r="S39" s="156"/>
      <c r="U39" s="158"/>
      <c r="V39" s="156"/>
    </row>
    <row r="40" spans="1:22" x14ac:dyDescent="0.25">
      <c r="A40" s="153" t="str">
        <f>Data!P41</f>
        <v>TH-57C</v>
      </c>
      <c r="B40" s="153" t="str">
        <f>Data!U41</f>
        <v>098 (162062)</v>
      </c>
      <c r="C40" s="154">
        <f>Data!R41</f>
        <v>2152.6999999999998</v>
      </c>
      <c r="D40" s="154">
        <f>Data!T41</f>
        <v>2495.1999999999998</v>
      </c>
      <c r="E40" s="155">
        <f>Data!S41</f>
        <v>115.91</v>
      </c>
      <c r="F40" s="148" t="str">
        <f ca="1">VLOOKUP(B40,Data!$U$4:$W$116,3,FALSE)</f>
        <v/>
      </c>
      <c r="H40" s="156"/>
      <c r="I40" s="157"/>
      <c r="J40" s="158"/>
      <c r="K40" s="159"/>
      <c r="L40" s="158"/>
      <c r="M40" s="156"/>
      <c r="N40" s="156"/>
      <c r="O40" s="157"/>
      <c r="P40" s="150"/>
      <c r="Q40" s="150"/>
      <c r="R40" s="150"/>
      <c r="S40" s="156"/>
      <c r="U40" s="158"/>
      <c r="V40" s="156"/>
    </row>
    <row r="41" spans="1:22" x14ac:dyDescent="0.25">
      <c r="A41" s="153" t="str">
        <f>Data!P42</f>
        <v>TH-57C</v>
      </c>
      <c r="B41" s="153" t="str">
        <f>Data!U42</f>
        <v>099 (162063)</v>
      </c>
      <c r="C41" s="154">
        <f>Data!R42</f>
        <v>2154.6999999999998</v>
      </c>
      <c r="D41" s="154">
        <f>Data!T42</f>
        <v>2508.7800000000002</v>
      </c>
      <c r="E41" s="155">
        <f>Data!S42</f>
        <v>116.43</v>
      </c>
      <c r="F41" s="148" t="str">
        <f ca="1">VLOOKUP(B41,Data!$U$4:$W$116,3,FALSE)</f>
        <v/>
      </c>
      <c r="H41" s="156"/>
      <c r="I41" s="157"/>
      <c r="J41" s="158"/>
      <c r="K41" s="159"/>
      <c r="L41" s="158"/>
      <c r="M41" s="156"/>
      <c r="N41" s="156"/>
      <c r="O41" s="157"/>
      <c r="P41" s="150"/>
      <c r="Q41" s="150"/>
      <c r="R41" s="150"/>
      <c r="S41" s="156"/>
      <c r="U41" s="158"/>
      <c r="V41" s="156"/>
    </row>
    <row r="42" spans="1:22" x14ac:dyDescent="0.25">
      <c r="A42" s="153" t="str">
        <f>Data!P43</f>
        <v>TH-57C</v>
      </c>
      <c r="B42" s="153" t="str">
        <f>Data!U43</f>
        <v>100 (162064)</v>
      </c>
      <c r="C42" s="154">
        <f>Data!R43</f>
        <v>2151.6999999999998</v>
      </c>
      <c r="D42" s="154">
        <f>Data!T43</f>
        <v>2504</v>
      </c>
      <c r="E42" s="155">
        <f>Data!S43</f>
        <v>116.37</v>
      </c>
      <c r="F42" s="148" t="str">
        <f ca="1">VLOOKUP(B42,Data!$U$4:$W$116,3,FALSE)</f>
        <v/>
      </c>
      <c r="H42" s="156"/>
      <c r="I42" s="157"/>
      <c r="J42" s="158"/>
      <c r="K42" s="159"/>
      <c r="L42" s="158"/>
      <c r="M42" s="156"/>
      <c r="N42" s="156"/>
      <c r="O42" s="157"/>
      <c r="P42" s="150"/>
      <c r="Q42" s="150"/>
      <c r="R42" s="150"/>
      <c r="S42" s="156"/>
      <c r="U42" s="158"/>
      <c r="V42" s="156"/>
    </row>
    <row r="43" spans="1:22" x14ac:dyDescent="0.25">
      <c r="A43" s="153" t="str">
        <f>Data!P44</f>
        <v>TH-57C</v>
      </c>
      <c r="B43" s="153" t="str">
        <f>Data!U44</f>
        <v>101 (162065)</v>
      </c>
      <c r="C43" s="154">
        <f>Data!R44</f>
        <v>2131.1999999999998</v>
      </c>
      <c r="D43" s="154">
        <f>Data!T44</f>
        <v>2479.6</v>
      </c>
      <c r="E43" s="155">
        <f>Data!S44</f>
        <v>116.35</v>
      </c>
      <c r="F43" s="148" t="str">
        <f ca="1">VLOOKUP(B43,Data!$U$4:$W$116,3,FALSE)</f>
        <v/>
      </c>
      <c r="H43" s="156"/>
      <c r="I43" s="157"/>
      <c r="J43" s="158"/>
      <c r="K43" s="159"/>
      <c r="L43" s="158"/>
      <c r="M43" s="156"/>
      <c r="N43" s="156"/>
      <c r="O43" s="157"/>
      <c r="P43" s="150"/>
      <c r="Q43" s="150"/>
      <c r="R43" s="150"/>
      <c r="S43" s="156"/>
      <c r="U43" s="158"/>
      <c r="V43" s="156"/>
    </row>
    <row r="44" spans="1:22" x14ac:dyDescent="0.25">
      <c r="A44" s="153" t="str">
        <f>Data!P45</f>
        <v>TH-57C</v>
      </c>
      <c r="B44" s="153" t="str">
        <f>Data!U45</f>
        <v>102 (162066)</v>
      </c>
      <c r="C44" s="154">
        <f>Data!R45</f>
        <v>2153.1999999999998</v>
      </c>
      <c r="D44" s="154">
        <f>Data!T45</f>
        <v>2503.58</v>
      </c>
      <c r="E44" s="155">
        <f>Data!S45</f>
        <v>116.27</v>
      </c>
      <c r="F44" s="148" t="str">
        <f ca="1">VLOOKUP(B44,Data!$U$4:$W$116,3,FALSE)</f>
        <v/>
      </c>
      <c r="H44" s="156"/>
      <c r="I44" s="157"/>
      <c r="J44" s="158"/>
      <c r="K44" s="159"/>
      <c r="L44" s="158"/>
      <c r="M44" s="156"/>
      <c r="N44" s="156"/>
      <c r="O44" s="157"/>
      <c r="P44" s="150"/>
      <c r="Q44" s="150"/>
      <c r="R44" s="150"/>
      <c r="S44" s="156"/>
    </row>
    <row r="45" spans="1:22" x14ac:dyDescent="0.25">
      <c r="A45" s="153" t="str">
        <f>Data!P46</f>
        <v>TH-57C</v>
      </c>
      <c r="B45" s="153" t="str">
        <f>Data!U46</f>
        <v>103 (162067)</v>
      </c>
      <c r="C45" s="154">
        <f>Data!R46</f>
        <v>2152.1999999999998</v>
      </c>
      <c r="D45" s="154">
        <f>Data!T46</f>
        <v>2508.65</v>
      </c>
      <c r="E45" s="155">
        <f>Data!S46</f>
        <v>116.56</v>
      </c>
      <c r="F45" s="148" t="str">
        <f ca="1">VLOOKUP(B45,Data!$U$4:$W$116,3,FALSE)</f>
        <v/>
      </c>
      <c r="H45" s="156"/>
      <c r="I45" s="157"/>
      <c r="J45" s="158"/>
      <c r="K45" s="159"/>
      <c r="L45" s="158"/>
      <c r="M45" s="156"/>
      <c r="N45" s="156"/>
      <c r="O45" s="157"/>
      <c r="P45" s="150"/>
      <c r="Q45" s="150"/>
      <c r="R45" s="150"/>
      <c r="S45" s="156"/>
    </row>
    <row r="46" spans="1:22" x14ac:dyDescent="0.25">
      <c r="A46" s="153" t="str">
        <f>Data!P47</f>
        <v>TH-57C</v>
      </c>
      <c r="B46" s="153" t="str">
        <f>Data!U47</f>
        <v>104 (162666)</v>
      </c>
      <c r="C46" s="154">
        <f>Data!R47</f>
        <v>2154.3000000000002</v>
      </c>
      <c r="D46" s="154">
        <f>Data!T47</f>
        <v>2502.21</v>
      </c>
      <c r="E46" s="155">
        <f>Data!S47</f>
        <v>116.15</v>
      </c>
      <c r="F46" s="148" t="str">
        <f ca="1">VLOOKUP(B46,Data!$U$4:$W$116,3,FALSE)</f>
        <v/>
      </c>
      <c r="H46" s="156"/>
      <c r="I46" s="157"/>
      <c r="J46" s="158"/>
      <c r="K46" s="159"/>
      <c r="L46" s="158"/>
      <c r="M46" s="156"/>
      <c r="N46" s="156"/>
      <c r="O46" s="157"/>
      <c r="P46" s="150"/>
      <c r="Q46" s="150"/>
      <c r="R46" s="150"/>
      <c r="S46" s="156"/>
    </row>
    <row r="47" spans="1:22" x14ac:dyDescent="0.25">
      <c r="H47" s="156"/>
      <c r="I47" s="157"/>
      <c r="J47" s="158"/>
      <c r="K47" s="159"/>
      <c r="L47" s="158"/>
      <c r="M47" s="156"/>
      <c r="N47" s="156"/>
      <c r="O47" s="157"/>
      <c r="P47" s="150"/>
      <c r="Q47" s="150"/>
      <c r="R47" s="150"/>
      <c r="S47" s="156"/>
    </row>
    <row r="48" spans="1:22" x14ac:dyDescent="0.25">
      <c r="H48" s="156"/>
      <c r="I48" s="157"/>
      <c r="J48" s="158"/>
      <c r="K48" s="159"/>
      <c r="L48" s="158"/>
      <c r="M48" s="156"/>
      <c r="N48" s="156"/>
      <c r="O48" s="157"/>
      <c r="P48" s="150"/>
      <c r="Q48" s="150"/>
      <c r="R48" s="150"/>
      <c r="S48" s="156"/>
    </row>
    <row r="49" spans="8:19" x14ac:dyDescent="0.25">
      <c r="H49" s="156"/>
      <c r="I49" s="157"/>
      <c r="J49" s="158"/>
      <c r="K49" s="159"/>
      <c r="L49" s="158"/>
      <c r="M49" s="156"/>
      <c r="N49" s="156"/>
      <c r="O49" s="157"/>
      <c r="P49" s="150"/>
      <c r="Q49" s="150"/>
      <c r="R49" s="150"/>
      <c r="S49" s="156"/>
    </row>
    <row r="50" spans="8:19" x14ac:dyDescent="0.25">
      <c r="H50" s="156"/>
      <c r="I50" s="157"/>
      <c r="J50" s="158"/>
      <c r="K50" s="159"/>
      <c r="L50" s="158"/>
      <c r="M50" s="156"/>
      <c r="N50" s="156"/>
      <c r="O50" s="157"/>
      <c r="P50" s="150"/>
      <c r="Q50" s="150"/>
      <c r="R50" s="150"/>
      <c r="S50" s="156"/>
    </row>
    <row r="51" spans="8:19" x14ac:dyDescent="0.25">
      <c r="H51" s="156"/>
      <c r="I51" s="157"/>
      <c r="J51" s="158"/>
      <c r="K51" s="159"/>
      <c r="L51" s="158"/>
      <c r="M51" s="156"/>
      <c r="N51" s="156"/>
      <c r="O51" s="157"/>
      <c r="P51" s="150"/>
      <c r="Q51" s="150"/>
      <c r="R51" s="150"/>
      <c r="S51" s="156"/>
    </row>
    <row r="52" spans="8:19" x14ac:dyDescent="0.25">
      <c r="H52" s="156"/>
      <c r="I52" s="157"/>
      <c r="J52" s="158"/>
      <c r="K52" s="159"/>
      <c r="L52" s="158"/>
      <c r="M52" s="156"/>
      <c r="N52" s="156"/>
      <c r="O52" s="157"/>
      <c r="P52" s="150"/>
      <c r="Q52" s="150"/>
      <c r="R52" s="150"/>
      <c r="S52" s="156"/>
    </row>
    <row r="53" spans="8:19" x14ac:dyDescent="0.25">
      <c r="H53" s="156"/>
      <c r="I53" s="157"/>
      <c r="J53" s="158"/>
      <c r="K53" s="159"/>
      <c r="L53" s="158"/>
      <c r="M53" s="156"/>
      <c r="N53" s="156"/>
      <c r="O53" s="157"/>
      <c r="P53" s="150"/>
      <c r="Q53" s="150"/>
      <c r="R53" s="150"/>
      <c r="S53" s="156"/>
    </row>
    <row r="54" spans="8:19" x14ac:dyDescent="0.25">
      <c r="H54" s="156"/>
      <c r="I54" s="157"/>
      <c r="J54" s="158"/>
      <c r="K54" s="159"/>
      <c r="L54" s="158"/>
      <c r="M54" s="156"/>
      <c r="N54" s="156"/>
      <c r="O54" s="157"/>
      <c r="P54" s="150"/>
      <c r="Q54" s="150"/>
      <c r="R54" s="150"/>
      <c r="S54" s="156"/>
    </row>
    <row r="55" spans="8:19" x14ac:dyDescent="0.25">
      <c r="H55" s="156"/>
      <c r="I55" s="157"/>
      <c r="J55" s="158"/>
      <c r="K55" s="159"/>
      <c r="L55" s="158"/>
      <c r="M55" s="156"/>
      <c r="N55" s="156"/>
      <c r="O55" s="157"/>
      <c r="P55" s="150"/>
      <c r="Q55" s="150"/>
      <c r="R55" s="150"/>
      <c r="S55" s="156"/>
    </row>
    <row r="56" spans="8:19" x14ac:dyDescent="0.25">
      <c r="H56" s="156"/>
      <c r="I56" s="157"/>
      <c r="J56" s="158"/>
      <c r="K56" s="159"/>
      <c r="L56" s="158"/>
      <c r="M56" s="156"/>
      <c r="N56" s="156"/>
      <c r="O56" s="157"/>
      <c r="P56" s="150"/>
      <c r="Q56" s="150"/>
      <c r="R56" s="150"/>
      <c r="S56" s="156"/>
    </row>
    <row r="57" spans="8:19" x14ac:dyDescent="0.25">
      <c r="H57" s="156"/>
      <c r="I57" s="157"/>
      <c r="J57" s="158"/>
      <c r="K57" s="159"/>
      <c r="L57" s="158"/>
      <c r="M57" s="156"/>
      <c r="N57" s="156"/>
      <c r="O57" s="157"/>
      <c r="P57" s="150"/>
      <c r="Q57" s="150"/>
      <c r="R57" s="150"/>
      <c r="S57" s="156"/>
    </row>
    <row r="58" spans="8:19" x14ac:dyDescent="0.25">
      <c r="H58" s="156"/>
      <c r="I58" s="157"/>
      <c r="J58" s="158"/>
      <c r="K58" s="159"/>
      <c r="L58" s="158"/>
      <c r="M58" s="156"/>
      <c r="N58" s="156"/>
      <c r="O58" s="157"/>
      <c r="P58" s="150"/>
      <c r="Q58" s="150"/>
      <c r="R58" s="150"/>
      <c r="S58" s="156"/>
    </row>
    <row r="59" spans="8:19" x14ac:dyDescent="0.25">
      <c r="H59" s="156"/>
      <c r="I59" s="157"/>
      <c r="J59" s="158"/>
      <c r="K59" s="159"/>
      <c r="L59" s="158"/>
      <c r="M59" s="156"/>
      <c r="N59" s="156"/>
      <c r="O59" s="157"/>
      <c r="P59" s="150"/>
      <c r="Q59" s="150"/>
      <c r="R59" s="150"/>
      <c r="S59" s="156"/>
    </row>
    <row r="60" spans="8:19" x14ac:dyDescent="0.25">
      <c r="H60" s="156"/>
      <c r="I60" s="157"/>
      <c r="J60" s="158"/>
      <c r="K60" s="159"/>
      <c r="L60" s="158"/>
      <c r="M60" s="156"/>
      <c r="N60" s="156"/>
      <c r="O60" s="157"/>
      <c r="P60" s="150"/>
      <c r="Q60" s="150"/>
      <c r="R60" s="150"/>
      <c r="S60" s="156"/>
    </row>
    <row r="61" spans="8:19" x14ac:dyDescent="0.25">
      <c r="H61" s="156"/>
      <c r="I61" s="157"/>
      <c r="J61" s="158"/>
      <c r="K61" s="159"/>
      <c r="L61" s="158"/>
      <c r="M61" s="156"/>
      <c r="N61" s="156"/>
      <c r="O61" s="157"/>
      <c r="P61" s="150"/>
      <c r="Q61" s="150"/>
      <c r="R61" s="150"/>
      <c r="S61" s="156"/>
    </row>
    <row r="62" spans="8:19" x14ac:dyDescent="0.25">
      <c r="H62" s="156"/>
      <c r="I62" s="157"/>
      <c r="J62" s="158"/>
      <c r="K62" s="159"/>
      <c r="L62" s="158"/>
      <c r="M62" s="156"/>
      <c r="N62" s="156"/>
      <c r="O62" s="157"/>
      <c r="P62" s="150"/>
      <c r="Q62" s="150"/>
      <c r="R62" s="150"/>
      <c r="S62" s="156"/>
    </row>
    <row r="63" spans="8:19" x14ac:dyDescent="0.25">
      <c r="H63" s="156"/>
      <c r="I63" s="157"/>
      <c r="J63" s="158"/>
      <c r="K63" s="159"/>
      <c r="L63" s="158"/>
      <c r="M63" s="156"/>
      <c r="N63" s="156"/>
      <c r="O63" s="157"/>
      <c r="P63" s="150"/>
      <c r="Q63" s="150"/>
      <c r="R63" s="150"/>
      <c r="S63" s="156"/>
    </row>
    <row r="64" spans="8:19" x14ac:dyDescent="0.25">
      <c r="H64" s="156"/>
      <c r="I64" s="157"/>
      <c r="J64" s="158"/>
      <c r="K64" s="159"/>
      <c r="L64" s="158"/>
      <c r="M64" s="156"/>
      <c r="N64" s="156"/>
      <c r="O64" s="157"/>
      <c r="P64" s="150"/>
      <c r="Q64" s="150"/>
      <c r="R64" s="150"/>
      <c r="S64" s="156"/>
    </row>
    <row r="65" spans="8:19" x14ac:dyDescent="0.25">
      <c r="H65" s="150"/>
      <c r="I65" s="150"/>
      <c r="J65" s="150"/>
      <c r="K65" s="150"/>
      <c r="L65" s="158"/>
      <c r="M65" s="156"/>
      <c r="N65" s="156"/>
      <c r="O65" s="157"/>
      <c r="P65" s="150"/>
      <c r="Q65" s="150"/>
      <c r="R65" s="150"/>
      <c r="S65" s="156"/>
    </row>
    <row r="66" spans="8:19" x14ac:dyDescent="0.25">
      <c r="H66" s="150"/>
      <c r="I66" s="150"/>
      <c r="J66" s="150"/>
      <c r="K66" s="150"/>
      <c r="L66" s="158"/>
      <c r="M66" s="156"/>
      <c r="N66" s="156"/>
      <c r="O66" s="157"/>
      <c r="P66" s="150"/>
      <c r="Q66" s="150"/>
      <c r="R66" s="150"/>
      <c r="S66" s="156"/>
    </row>
    <row r="67" spans="8:19" x14ac:dyDescent="0.25">
      <c r="H67" s="150"/>
      <c r="I67" s="150"/>
      <c r="J67" s="150"/>
      <c r="K67" s="150"/>
      <c r="L67" s="158"/>
      <c r="M67" s="156"/>
      <c r="N67" s="156"/>
      <c r="O67" s="157"/>
      <c r="P67" s="150"/>
      <c r="Q67" s="150"/>
      <c r="R67" s="150"/>
      <c r="S67" s="156"/>
    </row>
    <row r="68" spans="8:19" x14ac:dyDescent="0.25">
      <c r="H68" s="150"/>
      <c r="I68" s="150"/>
      <c r="J68" s="150"/>
      <c r="K68" s="150"/>
      <c r="L68" s="158"/>
      <c r="M68" s="156"/>
      <c r="N68" s="156"/>
      <c r="O68" s="157"/>
      <c r="P68" s="150"/>
      <c r="Q68" s="150"/>
      <c r="R68" s="150"/>
      <c r="S68" s="156"/>
    </row>
    <row r="69" spans="8:19" x14ac:dyDescent="0.25">
      <c r="H69" s="150"/>
      <c r="I69" s="150"/>
      <c r="J69" s="150"/>
      <c r="K69" s="150"/>
      <c r="L69" s="158"/>
      <c r="M69" s="156"/>
      <c r="N69" s="156"/>
      <c r="O69" s="157"/>
      <c r="P69" s="150"/>
      <c r="Q69" s="150"/>
      <c r="R69" s="150"/>
      <c r="S69" s="156"/>
    </row>
    <row r="70" spans="8:19" x14ac:dyDescent="0.25">
      <c r="H70" s="150"/>
      <c r="I70" s="150"/>
      <c r="J70" s="150"/>
      <c r="K70" s="150"/>
      <c r="L70" s="158"/>
      <c r="M70" s="156"/>
      <c r="N70" s="156"/>
      <c r="O70" s="157"/>
      <c r="P70" s="150"/>
      <c r="Q70" s="150"/>
      <c r="R70" s="150"/>
      <c r="S70" s="156"/>
    </row>
    <row r="71" spans="8:19" x14ac:dyDescent="0.25">
      <c r="H71" s="150"/>
      <c r="I71" s="150"/>
      <c r="J71" s="150"/>
      <c r="K71" s="150"/>
      <c r="L71" s="158"/>
      <c r="M71" s="156"/>
      <c r="N71" s="156"/>
      <c r="O71" s="157"/>
      <c r="P71" s="150"/>
      <c r="Q71" s="150"/>
      <c r="R71" s="150"/>
      <c r="S71" s="156"/>
    </row>
    <row r="72" spans="8:19" x14ac:dyDescent="0.25">
      <c r="H72" s="150"/>
      <c r="I72" s="150"/>
      <c r="J72" s="150"/>
      <c r="K72" s="150"/>
      <c r="L72" s="158"/>
      <c r="M72" s="156"/>
      <c r="N72" s="156"/>
      <c r="O72" s="157"/>
      <c r="P72" s="150"/>
      <c r="Q72" s="150"/>
      <c r="R72" s="150"/>
      <c r="S72" s="156"/>
    </row>
    <row r="73" spans="8:19" x14ac:dyDescent="0.25">
      <c r="H73" s="150"/>
      <c r="I73" s="150"/>
      <c r="J73" s="150"/>
      <c r="K73" s="150"/>
      <c r="L73" s="158"/>
      <c r="M73" s="156"/>
      <c r="N73" s="156"/>
      <c r="O73" s="157"/>
      <c r="P73" s="150"/>
      <c r="Q73" s="150"/>
      <c r="R73" s="150"/>
      <c r="S73" s="156"/>
    </row>
    <row r="74" spans="8:19" x14ac:dyDescent="0.25">
      <c r="H74" s="150"/>
      <c r="I74" s="150"/>
      <c r="J74" s="150"/>
      <c r="K74" s="150"/>
      <c r="L74" s="158"/>
      <c r="M74" s="156"/>
      <c r="N74" s="156"/>
      <c r="O74" s="157"/>
      <c r="P74" s="150"/>
      <c r="Q74" s="150"/>
      <c r="R74" s="150"/>
      <c r="S74" s="156"/>
    </row>
    <row r="75" spans="8:19" x14ac:dyDescent="0.25">
      <c r="H75" s="150"/>
      <c r="I75" s="150"/>
      <c r="J75" s="150"/>
      <c r="K75" s="150"/>
      <c r="L75" s="150"/>
      <c r="M75" s="150"/>
      <c r="N75" s="156"/>
      <c r="O75" s="157"/>
      <c r="P75" s="158"/>
      <c r="Q75" s="159"/>
      <c r="R75" s="158"/>
      <c r="S75" s="156"/>
    </row>
    <row r="76" spans="8:19" x14ac:dyDescent="0.25">
      <c r="H76" s="150"/>
      <c r="I76" s="150"/>
      <c r="J76" s="150"/>
      <c r="K76" s="150"/>
      <c r="L76" s="150"/>
      <c r="M76" s="150"/>
      <c r="N76" s="156"/>
      <c r="O76" s="157"/>
      <c r="P76" s="158"/>
      <c r="Q76" s="159"/>
      <c r="R76" s="158"/>
      <c r="S76" s="156"/>
    </row>
    <row r="77" spans="8:19" x14ac:dyDescent="0.25">
      <c r="H77" s="150"/>
      <c r="I77" s="150"/>
      <c r="J77" s="150"/>
      <c r="K77" s="150"/>
      <c r="L77" s="150"/>
      <c r="M77" s="150"/>
      <c r="N77" s="156"/>
      <c r="O77" s="157"/>
      <c r="P77" s="158"/>
      <c r="Q77" s="159"/>
      <c r="R77" s="158"/>
      <c r="S77" s="156"/>
    </row>
    <row r="78" spans="8:19" x14ac:dyDescent="0.25">
      <c r="H78" s="150"/>
      <c r="I78" s="150"/>
      <c r="J78" s="150"/>
      <c r="K78" s="150"/>
      <c r="L78" s="150"/>
      <c r="M78" s="150"/>
      <c r="N78" s="156"/>
      <c r="O78" s="157"/>
      <c r="P78" s="158"/>
      <c r="Q78" s="159"/>
      <c r="R78" s="158"/>
      <c r="S78" s="156"/>
    </row>
    <row r="79" spans="8:19" x14ac:dyDescent="0.25">
      <c r="H79" s="150"/>
      <c r="I79" s="150"/>
      <c r="J79" s="150"/>
      <c r="K79" s="150"/>
      <c r="L79" s="150"/>
      <c r="M79" s="150"/>
      <c r="N79" s="156"/>
      <c r="O79" s="157"/>
      <c r="P79" s="158"/>
      <c r="Q79" s="159"/>
      <c r="R79" s="158"/>
      <c r="S79" s="156"/>
    </row>
    <row r="80" spans="8:19" x14ac:dyDescent="0.25">
      <c r="H80" s="150"/>
      <c r="I80" s="150"/>
      <c r="J80" s="150"/>
      <c r="K80" s="150"/>
      <c r="L80" s="150"/>
      <c r="M80" s="150"/>
      <c r="N80" s="156"/>
      <c r="O80" s="157"/>
      <c r="P80" s="158"/>
      <c r="Q80" s="159"/>
      <c r="R80" s="158"/>
      <c r="S80" s="156"/>
    </row>
    <row r="81" spans="1:19" x14ac:dyDescent="0.25">
      <c r="H81" s="150"/>
      <c r="I81" s="150"/>
      <c r="J81" s="150"/>
      <c r="K81" s="150"/>
      <c r="L81" s="150"/>
      <c r="M81" s="150"/>
      <c r="N81" s="156"/>
      <c r="O81" s="157"/>
      <c r="P81" s="158"/>
      <c r="Q81" s="159"/>
      <c r="R81" s="158"/>
      <c r="S81" s="156"/>
    </row>
    <row r="82" spans="1:19" x14ac:dyDescent="0.25">
      <c r="H82" s="150"/>
      <c r="I82" s="150"/>
      <c r="J82" s="150"/>
      <c r="K82" s="150"/>
      <c r="L82" s="150"/>
      <c r="M82" s="150"/>
      <c r="N82" s="156"/>
      <c r="O82" s="157"/>
      <c r="P82" s="158"/>
      <c r="Q82" s="159"/>
      <c r="R82" s="158"/>
      <c r="S82" s="156"/>
    </row>
    <row r="83" spans="1:19" x14ac:dyDescent="0.25">
      <c r="H83" s="150"/>
      <c r="I83" s="150"/>
      <c r="J83" s="150"/>
      <c r="K83" s="150"/>
      <c r="L83" s="150"/>
      <c r="M83" s="150"/>
      <c r="N83" s="156"/>
      <c r="O83" s="157"/>
      <c r="P83" s="158"/>
      <c r="Q83" s="159"/>
      <c r="R83" s="158"/>
      <c r="S83" s="156"/>
    </row>
    <row r="84" spans="1:19" x14ac:dyDescent="0.25">
      <c r="H84" s="150"/>
      <c r="I84" s="150"/>
      <c r="J84" s="150"/>
      <c r="K84" s="150"/>
      <c r="L84" s="150"/>
      <c r="M84" s="150"/>
      <c r="N84" s="156"/>
      <c r="O84" s="157"/>
      <c r="P84" s="158"/>
      <c r="Q84" s="159"/>
      <c r="R84" s="158"/>
      <c r="S84" s="156"/>
    </row>
    <row r="85" spans="1:19" x14ac:dyDescent="0.25">
      <c r="H85" s="150"/>
      <c r="I85" s="150"/>
      <c r="J85" s="150"/>
      <c r="K85" s="150"/>
      <c r="L85" s="150"/>
      <c r="M85" s="150"/>
      <c r="N85" s="156"/>
      <c r="O85" s="157"/>
      <c r="P85" s="158"/>
      <c r="Q85" s="159"/>
      <c r="R85" s="158"/>
      <c r="S85" s="156"/>
    </row>
    <row r="86" spans="1:19" x14ac:dyDescent="0.25">
      <c r="H86" s="150"/>
      <c r="I86" s="150"/>
      <c r="J86" s="150"/>
      <c r="K86" s="150"/>
      <c r="L86" s="150"/>
      <c r="M86" s="150"/>
      <c r="N86" s="156"/>
      <c r="O86" s="157"/>
      <c r="P86" s="158"/>
      <c r="Q86" s="159"/>
      <c r="R86" s="158"/>
      <c r="S86" s="156"/>
    </row>
    <row r="87" spans="1:19" x14ac:dyDescent="0.25">
      <c r="A87" s="160"/>
      <c r="B87" s="160"/>
      <c r="C87" s="161"/>
      <c r="D87" s="161"/>
      <c r="E87" s="162"/>
      <c r="H87" s="150"/>
      <c r="I87" s="150"/>
      <c r="J87" s="150"/>
      <c r="K87" s="150"/>
      <c r="L87" s="150"/>
      <c r="M87" s="150"/>
      <c r="N87" s="156"/>
      <c r="O87" s="157"/>
      <c r="P87" s="158"/>
      <c r="Q87" s="159"/>
      <c r="R87" s="158"/>
      <c r="S87" s="156"/>
    </row>
    <row r="88" spans="1:19" x14ac:dyDescent="0.25">
      <c r="A88" s="160"/>
      <c r="B88" s="160"/>
      <c r="C88" s="161"/>
      <c r="D88" s="161"/>
      <c r="E88" s="162"/>
      <c r="H88" s="150"/>
      <c r="I88" s="150"/>
      <c r="J88" s="150"/>
      <c r="K88" s="150"/>
      <c r="L88" s="150"/>
      <c r="M88" s="150"/>
      <c r="N88" s="156"/>
      <c r="O88" s="157"/>
      <c r="P88" s="158"/>
      <c r="Q88" s="159"/>
      <c r="R88" s="158"/>
      <c r="S88" s="156"/>
    </row>
    <row r="89" spans="1:19" x14ac:dyDescent="0.25">
      <c r="A89" s="160"/>
      <c r="B89" s="160"/>
      <c r="C89" s="161"/>
      <c r="D89" s="161"/>
      <c r="E89" s="162"/>
      <c r="H89" s="150"/>
      <c r="I89" s="150"/>
      <c r="J89" s="150"/>
      <c r="K89" s="150"/>
      <c r="L89" s="150"/>
      <c r="M89" s="150"/>
      <c r="N89" s="156"/>
      <c r="O89" s="157"/>
      <c r="P89" s="158"/>
      <c r="Q89" s="159"/>
      <c r="R89" s="158"/>
      <c r="S89" s="156"/>
    </row>
    <row r="90" spans="1:19" x14ac:dyDescent="0.25">
      <c r="A90" s="160"/>
      <c r="B90" s="160"/>
      <c r="C90" s="161"/>
      <c r="D90" s="161"/>
      <c r="E90" s="162"/>
      <c r="H90" s="150"/>
      <c r="I90" s="150"/>
      <c r="J90" s="150"/>
      <c r="K90" s="150"/>
      <c r="L90" s="150"/>
      <c r="M90" s="150"/>
      <c r="N90" s="156"/>
      <c r="O90" s="157"/>
      <c r="P90" s="158"/>
      <c r="Q90" s="159"/>
      <c r="R90" s="158"/>
      <c r="S90" s="156"/>
    </row>
    <row r="91" spans="1:19" x14ac:dyDescent="0.25">
      <c r="A91" s="160"/>
      <c r="B91" s="160"/>
      <c r="C91" s="161"/>
      <c r="D91" s="161"/>
      <c r="E91" s="162"/>
      <c r="H91" s="150"/>
      <c r="I91" s="150"/>
      <c r="J91" s="150"/>
      <c r="K91" s="150"/>
      <c r="L91" s="150"/>
      <c r="M91" s="150"/>
      <c r="N91" s="156"/>
      <c r="O91" s="157"/>
      <c r="P91" s="158"/>
      <c r="Q91" s="159"/>
      <c r="R91" s="158"/>
      <c r="S91" s="156"/>
    </row>
    <row r="92" spans="1:19" x14ac:dyDescent="0.25">
      <c r="A92" s="160"/>
      <c r="B92" s="160"/>
      <c r="C92" s="161"/>
      <c r="D92" s="161"/>
      <c r="E92" s="162"/>
      <c r="H92" s="150"/>
      <c r="I92" s="150"/>
      <c r="J92" s="150"/>
      <c r="K92" s="150"/>
      <c r="L92" s="150"/>
      <c r="M92" s="150"/>
      <c r="N92" s="156"/>
      <c r="O92" s="157"/>
      <c r="P92" s="158"/>
      <c r="Q92" s="159"/>
      <c r="R92" s="158"/>
      <c r="S92" s="156"/>
    </row>
    <row r="93" spans="1:19" x14ac:dyDescent="0.25">
      <c r="A93" s="160"/>
      <c r="B93" s="160"/>
      <c r="C93" s="161"/>
      <c r="D93" s="161"/>
      <c r="E93" s="162"/>
      <c r="H93" s="150"/>
      <c r="I93" s="150"/>
      <c r="J93" s="150"/>
      <c r="K93" s="150"/>
      <c r="L93" s="150"/>
      <c r="M93" s="150"/>
      <c r="N93" s="156"/>
      <c r="O93" s="157"/>
      <c r="P93" s="158"/>
      <c r="Q93" s="159"/>
      <c r="R93" s="158"/>
      <c r="S93" s="156"/>
    </row>
    <row r="94" spans="1:19" x14ac:dyDescent="0.25">
      <c r="A94" s="160"/>
      <c r="B94" s="160"/>
      <c r="C94" s="161"/>
      <c r="D94" s="161"/>
      <c r="E94" s="162"/>
      <c r="H94" s="150"/>
      <c r="I94" s="150"/>
      <c r="J94" s="150"/>
      <c r="K94" s="150"/>
      <c r="L94" s="150"/>
      <c r="M94" s="150"/>
      <c r="N94" s="156"/>
      <c r="O94" s="157"/>
      <c r="P94" s="158"/>
      <c r="Q94" s="159"/>
      <c r="R94" s="158"/>
      <c r="S94" s="156"/>
    </row>
    <row r="95" spans="1:19" x14ac:dyDescent="0.25">
      <c r="A95" s="160"/>
      <c r="B95" s="160"/>
      <c r="C95" s="161"/>
      <c r="D95" s="161"/>
      <c r="E95" s="162"/>
      <c r="H95" s="150"/>
      <c r="I95" s="150"/>
      <c r="J95" s="150"/>
      <c r="K95" s="150"/>
      <c r="L95" s="150"/>
      <c r="M95" s="150"/>
      <c r="N95" s="156"/>
      <c r="O95" s="157"/>
      <c r="P95" s="158"/>
      <c r="Q95" s="159"/>
      <c r="R95" s="158"/>
      <c r="S95" s="156"/>
    </row>
    <row r="96" spans="1:19" x14ac:dyDescent="0.25">
      <c r="A96" s="160"/>
      <c r="B96" s="160"/>
      <c r="C96" s="161"/>
      <c r="D96" s="161"/>
      <c r="E96" s="162"/>
      <c r="H96" s="150"/>
      <c r="I96" s="150"/>
      <c r="J96" s="150"/>
      <c r="K96" s="150"/>
      <c r="L96" s="150"/>
      <c r="M96" s="150"/>
      <c r="N96" s="156"/>
      <c r="O96" s="157"/>
      <c r="P96" s="158"/>
      <c r="Q96" s="159"/>
      <c r="R96" s="158"/>
      <c r="S96" s="156"/>
    </row>
    <row r="97" spans="1:19" x14ac:dyDescent="0.25">
      <c r="A97" s="160"/>
      <c r="B97" s="160"/>
      <c r="C97" s="161"/>
      <c r="D97" s="161"/>
      <c r="E97" s="162"/>
      <c r="H97" s="150"/>
      <c r="I97" s="150"/>
      <c r="J97" s="150"/>
      <c r="K97" s="150"/>
      <c r="L97" s="150"/>
      <c r="M97" s="150"/>
      <c r="N97" s="156"/>
      <c r="O97" s="157"/>
      <c r="P97" s="158"/>
      <c r="Q97" s="159"/>
      <c r="R97" s="158"/>
      <c r="S97" s="156"/>
    </row>
    <row r="98" spans="1:19" x14ac:dyDescent="0.25">
      <c r="A98" s="160"/>
      <c r="B98" s="160"/>
      <c r="C98" s="161"/>
      <c r="D98" s="161"/>
      <c r="E98" s="162"/>
      <c r="H98" s="150"/>
      <c r="I98" s="150"/>
      <c r="J98" s="150"/>
      <c r="K98" s="150"/>
      <c r="L98" s="150"/>
      <c r="M98" s="150"/>
      <c r="N98" s="156"/>
      <c r="O98" s="157"/>
      <c r="P98" s="158"/>
      <c r="Q98" s="159"/>
      <c r="R98" s="158"/>
      <c r="S98" s="156"/>
    </row>
    <row r="99" spans="1:19" x14ac:dyDescent="0.25">
      <c r="A99" s="160"/>
      <c r="B99" s="160"/>
      <c r="C99" s="161"/>
      <c r="D99" s="161"/>
      <c r="E99" s="162"/>
      <c r="H99" s="150"/>
      <c r="I99" s="150"/>
      <c r="J99" s="150"/>
      <c r="K99" s="150"/>
      <c r="L99" s="150"/>
      <c r="M99" s="150"/>
      <c r="N99" s="156"/>
      <c r="O99" s="157"/>
      <c r="P99" s="158"/>
      <c r="Q99" s="159"/>
      <c r="R99" s="158"/>
      <c r="S99" s="156"/>
    </row>
    <row r="100" spans="1:19" x14ac:dyDescent="0.25">
      <c r="A100" s="160"/>
      <c r="B100" s="160"/>
      <c r="C100" s="161"/>
      <c r="D100" s="161"/>
      <c r="E100" s="162"/>
      <c r="H100" s="150"/>
      <c r="I100" s="150"/>
      <c r="J100" s="150"/>
      <c r="K100" s="150"/>
      <c r="L100" s="150"/>
      <c r="M100" s="150"/>
      <c r="N100" s="156"/>
      <c r="O100" s="157"/>
      <c r="P100" s="158"/>
      <c r="Q100" s="159"/>
      <c r="R100" s="158"/>
      <c r="S100" s="156"/>
    </row>
    <row r="101" spans="1:19" x14ac:dyDescent="0.25">
      <c r="A101" s="160"/>
      <c r="B101" s="160"/>
      <c r="C101" s="161"/>
      <c r="D101" s="161"/>
      <c r="E101" s="162"/>
      <c r="H101" s="150"/>
      <c r="I101" s="150"/>
      <c r="J101" s="150"/>
      <c r="K101" s="150"/>
      <c r="L101" s="150"/>
      <c r="M101" s="150"/>
      <c r="N101" s="156"/>
      <c r="O101" s="157"/>
      <c r="P101" s="158"/>
      <c r="Q101" s="159"/>
      <c r="R101" s="158"/>
      <c r="S101" s="156"/>
    </row>
    <row r="102" spans="1:19" x14ac:dyDescent="0.25">
      <c r="A102" s="160"/>
      <c r="B102" s="160"/>
      <c r="C102" s="161"/>
      <c r="D102" s="161"/>
      <c r="E102" s="162"/>
      <c r="H102" s="150"/>
      <c r="I102" s="150"/>
      <c r="J102" s="150"/>
      <c r="K102" s="150"/>
      <c r="L102" s="150"/>
      <c r="M102" s="150"/>
      <c r="N102" s="156"/>
      <c r="O102" s="157"/>
      <c r="P102" s="158"/>
      <c r="Q102" s="159"/>
      <c r="R102" s="158"/>
      <c r="S102" s="156"/>
    </row>
    <row r="103" spans="1:19" x14ac:dyDescent="0.25">
      <c r="A103" s="160"/>
      <c r="B103" s="160"/>
      <c r="C103" s="161"/>
      <c r="D103" s="161"/>
      <c r="E103" s="162"/>
      <c r="H103" s="150"/>
      <c r="I103" s="150"/>
      <c r="J103" s="150"/>
      <c r="K103" s="150"/>
      <c r="L103" s="150"/>
      <c r="M103" s="150"/>
      <c r="N103" s="156"/>
      <c r="O103" s="157"/>
      <c r="P103" s="158"/>
      <c r="Q103" s="159"/>
      <c r="R103" s="158"/>
      <c r="S103" s="156"/>
    </row>
    <row r="104" spans="1:19" x14ac:dyDescent="0.25">
      <c r="A104" s="160"/>
      <c r="B104" s="160"/>
      <c r="C104" s="161"/>
      <c r="D104" s="161"/>
      <c r="E104" s="162"/>
      <c r="H104" s="150"/>
      <c r="I104" s="150"/>
      <c r="J104" s="150"/>
      <c r="K104" s="150"/>
      <c r="L104" s="150"/>
      <c r="M104" s="150"/>
      <c r="N104" s="156"/>
      <c r="O104" s="157"/>
      <c r="P104" s="158"/>
      <c r="Q104" s="159"/>
      <c r="R104" s="158"/>
      <c r="S104" s="156"/>
    </row>
    <row r="105" spans="1:19" x14ac:dyDescent="0.25">
      <c r="A105" s="160"/>
      <c r="B105" s="160"/>
      <c r="C105" s="161"/>
      <c r="D105" s="161"/>
      <c r="E105" s="162"/>
      <c r="H105" s="150"/>
      <c r="I105" s="150"/>
      <c r="J105" s="150"/>
      <c r="K105" s="150"/>
      <c r="L105" s="150"/>
      <c r="M105" s="150"/>
      <c r="N105" s="156"/>
      <c r="O105" s="157"/>
      <c r="P105" s="158"/>
      <c r="Q105" s="159"/>
      <c r="R105" s="158"/>
      <c r="S105" s="156"/>
    </row>
    <row r="106" spans="1:19" x14ac:dyDescent="0.25">
      <c r="A106" s="160"/>
      <c r="B106" s="160"/>
      <c r="C106" s="161"/>
      <c r="D106" s="161"/>
      <c r="E106" s="162"/>
      <c r="H106" s="150"/>
      <c r="I106" s="150"/>
      <c r="J106" s="150"/>
      <c r="K106" s="150"/>
      <c r="L106" s="150"/>
      <c r="M106" s="150"/>
      <c r="N106" s="156"/>
      <c r="O106" s="157"/>
      <c r="P106" s="158"/>
      <c r="Q106" s="159"/>
      <c r="R106" s="158"/>
      <c r="S106" s="156"/>
    </row>
    <row r="107" spans="1:19" x14ac:dyDescent="0.25">
      <c r="A107" s="160"/>
      <c r="B107" s="160"/>
      <c r="C107" s="161"/>
      <c r="D107" s="161"/>
      <c r="E107" s="162"/>
      <c r="H107" s="150"/>
      <c r="I107" s="150"/>
      <c r="J107" s="150"/>
      <c r="K107" s="150"/>
      <c r="L107" s="150"/>
      <c r="M107" s="150"/>
      <c r="N107" s="156"/>
      <c r="O107" s="157"/>
      <c r="P107" s="158"/>
      <c r="Q107" s="159"/>
      <c r="R107" s="158"/>
      <c r="S107" s="156"/>
    </row>
    <row r="108" spans="1:19" x14ac:dyDescent="0.25">
      <c r="A108" s="160"/>
      <c r="B108" s="160"/>
      <c r="C108" s="161"/>
      <c r="D108" s="161"/>
      <c r="E108" s="162"/>
      <c r="H108" s="150"/>
      <c r="I108" s="150"/>
      <c r="J108" s="150"/>
      <c r="K108" s="150"/>
      <c r="L108" s="150"/>
      <c r="M108" s="150"/>
      <c r="N108" s="156"/>
      <c r="O108" s="157"/>
      <c r="P108" s="158"/>
      <c r="Q108" s="159"/>
      <c r="R108" s="158"/>
      <c r="S108" s="156"/>
    </row>
    <row r="109" spans="1:19" x14ac:dyDescent="0.25">
      <c r="A109" s="160"/>
      <c r="B109" s="160"/>
      <c r="C109" s="161"/>
      <c r="D109" s="161"/>
      <c r="E109" s="162"/>
      <c r="H109" s="150"/>
      <c r="I109" s="150"/>
      <c r="J109" s="150"/>
      <c r="K109" s="150"/>
      <c r="L109" s="150"/>
      <c r="M109" s="150"/>
      <c r="N109" s="156"/>
      <c r="O109" s="157"/>
      <c r="P109" s="158"/>
      <c r="Q109" s="159"/>
      <c r="R109" s="158"/>
      <c r="S109" s="156"/>
    </row>
    <row r="110" spans="1:19" x14ac:dyDescent="0.25">
      <c r="A110" s="160"/>
      <c r="B110" s="160"/>
      <c r="C110" s="161"/>
      <c r="D110" s="161"/>
      <c r="E110" s="162"/>
      <c r="H110" s="150"/>
      <c r="I110" s="150"/>
      <c r="J110" s="150"/>
      <c r="K110" s="150"/>
      <c r="L110" s="150"/>
      <c r="M110" s="150"/>
      <c r="N110" s="156"/>
      <c r="O110" s="157"/>
      <c r="P110" s="158"/>
      <c r="Q110" s="159"/>
      <c r="R110" s="158"/>
      <c r="S110" s="156"/>
    </row>
    <row r="111" spans="1:19" x14ac:dyDescent="0.25">
      <c r="A111" s="160"/>
      <c r="B111" s="160"/>
      <c r="C111" s="161"/>
      <c r="D111" s="161"/>
      <c r="E111" s="162"/>
      <c r="H111" s="150"/>
      <c r="I111" s="150"/>
      <c r="J111" s="150"/>
      <c r="K111" s="150"/>
      <c r="L111" s="150"/>
      <c r="M111" s="150"/>
      <c r="N111" s="156"/>
      <c r="O111" s="157"/>
      <c r="P111" s="158"/>
      <c r="Q111" s="159"/>
      <c r="R111" s="158"/>
      <c r="S111" s="156"/>
    </row>
    <row r="112" spans="1:19" x14ac:dyDescent="0.25">
      <c r="A112" s="160"/>
      <c r="B112" s="160"/>
      <c r="C112" s="161"/>
      <c r="D112" s="161"/>
      <c r="E112" s="162"/>
      <c r="H112" s="150"/>
      <c r="I112" s="150"/>
      <c r="J112" s="150"/>
      <c r="K112" s="150"/>
      <c r="L112" s="150"/>
      <c r="M112" s="150"/>
      <c r="N112" s="156"/>
      <c r="O112" s="157"/>
      <c r="P112" s="158"/>
      <c r="Q112" s="159"/>
      <c r="R112" s="158"/>
      <c r="S112" s="156"/>
    </row>
    <row r="113" spans="1:19" x14ac:dyDescent="0.25">
      <c r="A113" s="160"/>
      <c r="B113" s="160"/>
      <c r="C113" s="161"/>
      <c r="D113" s="161"/>
      <c r="E113" s="162"/>
      <c r="H113" s="150"/>
      <c r="I113" s="150"/>
      <c r="J113" s="150"/>
      <c r="K113" s="150"/>
      <c r="L113" s="150"/>
      <c r="M113" s="150"/>
      <c r="N113" s="156"/>
      <c r="O113" s="157"/>
      <c r="P113" s="158"/>
      <c r="Q113" s="159"/>
      <c r="R113" s="158"/>
      <c r="S113" s="156"/>
    </row>
    <row r="114" spans="1:19" x14ac:dyDescent="0.25">
      <c r="A114" s="160"/>
      <c r="B114" s="160"/>
      <c r="C114" s="161"/>
      <c r="D114" s="161"/>
      <c r="E114" s="162"/>
      <c r="H114" s="150"/>
      <c r="I114" s="150"/>
      <c r="J114" s="150"/>
      <c r="K114" s="150"/>
      <c r="L114" s="150"/>
      <c r="M114" s="150"/>
      <c r="N114" s="156"/>
      <c r="O114" s="157"/>
      <c r="P114" s="158"/>
      <c r="Q114" s="159"/>
      <c r="R114" s="158"/>
      <c r="S114" s="156"/>
    </row>
    <row r="115" spans="1:19" x14ac:dyDescent="0.25">
      <c r="A115" s="160"/>
      <c r="B115" s="160"/>
      <c r="C115" s="161"/>
      <c r="D115" s="161"/>
      <c r="E115" s="162"/>
      <c r="H115" s="150"/>
      <c r="I115" s="150"/>
      <c r="J115" s="150"/>
      <c r="K115" s="150"/>
      <c r="L115" s="150"/>
      <c r="M115" s="150"/>
      <c r="N115" s="156"/>
      <c r="O115" s="157"/>
      <c r="P115" s="158"/>
      <c r="Q115" s="159"/>
      <c r="R115" s="158"/>
      <c r="S115" s="156"/>
    </row>
    <row r="116" spans="1:19" x14ac:dyDescent="0.25">
      <c r="H116" s="150"/>
      <c r="I116" s="150"/>
      <c r="J116" s="150"/>
      <c r="K116" s="150"/>
      <c r="L116" s="150"/>
      <c r="M116" s="150"/>
    </row>
    <row r="117" spans="1:19" x14ac:dyDescent="0.25">
      <c r="H117" s="150"/>
      <c r="I117" s="150"/>
      <c r="J117" s="150"/>
      <c r="K117" s="150"/>
      <c r="L117" s="150"/>
      <c r="M117" s="150"/>
    </row>
    <row r="118" spans="1:19" x14ac:dyDescent="0.25">
      <c r="H118" s="150"/>
      <c r="I118" s="150"/>
      <c r="J118" s="150"/>
      <c r="K118" s="150"/>
      <c r="L118" s="150"/>
      <c r="M118" s="150"/>
    </row>
    <row r="119" spans="1:19" x14ac:dyDescent="0.25">
      <c r="H119" s="150"/>
      <c r="I119" s="150"/>
      <c r="J119" s="150"/>
      <c r="K119" s="150"/>
      <c r="L119" s="150"/>
      <c r="M119" s="150"/>
    </row>
    <row r="120" spans="1:19" x14ac:dyDescent="0.25">
      <c r="H120" s="150"/>
      <c r="I120" s="150"/>
      <c r="J120" s="150"/>
      <c r="K120" s="150"/>
      <c r="L120" s="150"/>
      <c r="M120" s="150"/>
    </row>
    <row r="121" spans="1:19" x14ac:dyDescent="0.25">
      <c r="H121" s="150"/>
      <c r="I121" s="150"/>
      <c r="J121" s="150"/>
      <c r="K121" s="150"/>
      <c r="L121" s="150"/>
      <c r="M121" s="150"/>
    </row>
    <row r="122" spans="1:19" x14ac:dyDescent="0.25">
      <c r="H122" s="150"/>
      <c r="I122" s="150"/>
      <c r="J122" s="150"/>
      <c r="K122" s="150"/>
      <c r="L122" s="150"/>
      <c r="M122" s="150"/>
    </row>
    <row r="123" spans="1:19" x14ac:dyDescent="0.25">
      <c r="H123" s="150"/>
      <c r="I123" s="150"/>
      <c r="J123" s="150"/>
      <c r="K123" s="150"/>
      <c r="L123" s="150"/>
      <c r="M123" s="150"/>
    </row>
    <row r="124" spans="1:19" x14ac:dyDescent="0.25">
      <c r="H124" s="150"/>
      <c r="I124" s="150"/>
      <c r="J124" s="150"/>
      <c r="K124" s="150"/>
      <c r="L124" s="150"/>
      <c r="M124" s="150"/>
    </row>
    <row r="125" spans="1:19" x14ac:dyDescent="0.25">
      <c r="H125" s="150"/>
      <c r="I125" s="150"/>
      <c r="J125" s="150"/>
      <c r="K125" s="150"/>
      <c r="L125" s="150"/>
      <c r="M125" s="150"/>
    </row>
    <row r="126" spans="1:19" x14ac:dyDescent="0.25">
      <c r="H126" s="150"/>
      <c r="I126" s="150"/>
      <c r="J126" s="150"/>
      <c r="K126" s="150"/>
      <c r="L126" s="150"/>
      <c r="M126" s="150"/>
    </row>
    <row r="127" spans="1:19" x14ac:dyDescent="0.25">
      <c r="H127" s="150"/>
      <c r="I127" s="150"/>
      <c r="J127" s="150"/>
      <c r="K127" s="150"/>
      <c r="L127" s="150"/>
      <c r="M127" s="150"/>
    </row>
    <row r="128" spans="1:19" x14ac:dyDescent="0.25">
      <c r="H128" s="150"/>
      <c r="I128" s="150"/>
      <c r="J128" s="150"/>
      <c r="K128" s="150"/>
      <c r="L128" s="150"/>
      <c r="M128" s="150"/>
    </row>
    <row r="129" spans="8:13" x14ac:dyDescent="0.25">
      <c r="H129" s="150"/>
      <c r="I129" s="150"/>
      <c r="J129" s="150"/>
      <c r="K129" s="150"/>
      <c r="L129" s="150"/>
      <c r="M129" s="150"/>
    </row>
    <row r="130" spans="8:13" x14ac:dyDescent="0.25">
      <c r="H130" s="150"/>
      <c r="I130" s="150"/>
      <c r="J130" s="150"/>
      <c r="K130" s="150"/>
      <c r="L130" s="150"/>
      <c r="M130" s="150"/>
    </row>
    <row r="131" spans="8:13" x14ac:dyDescent="0.25">
      <c r="H131" s="150"/>
      <c r="I131" s="150"/>
      <c r="J131" s="150"/>
      <c r="K131" s="150"/>
      <c r="L131" s="150"/>
      <c r="M131" s="150"/>
    </row>
    <row r="132" spans="8:13" x14ac:dyDescent="0.25">
      <c r="H132" s="150"/>
      <c r="I132" s="150"/>
      <c r="J132" s="150"/>
      <c r="K132" s="150"/>
      <c r="L132" s="150"/>
      <c r="M132" s="150"/>
    </row>
    <row r="133" spans="8:13" x14ac:dyDescent="0.25">
      <c r="H133" s="150"/>
      <c r="I133" s="150"/>
      <c r="J133" s="150"/>
      <c r="K133" s="150"/>
      <c r="L133" s="150"/>
      <c r="M133" s="150"/>
    </row>
    <row r="134" spans="8:13" x14ac:dyDescent="0.25">
      <c r="H134" s="150"/>
      <c r="I134" s="150"/>
      <c r="J134" s="150"/>
      <c r="K134" s="150"/>
      <c r="L134" s="150"/>
      <c r="M134" s="150"/>
    </row>
    <row r="135" spans="8:13" x14ac:dyDescent="0.25">
      <c r="H135" s="150"/>
      <c r="I135" s="150"/>
      <c r="J135" s="150"/>
      <c r="K135" s="150"/>
      <c r="L135" s="150"/>
      <c r="M135" s="150"/>
    </row>
    <row r="136" spans="8:13" x14ac:dyDescent="0.25">
      <c r="H136" s="150"/>
      <c r="I136" s="150"/>
      <c r="J136" s="150"/>
      <c r="K136" s="150"/>
      <c r="L136" s="150"/>
      <c r="M136" s="150"/>
    </row>
    <row r="137" spans="8:13" x14ac:dyDescent="0.25">
      <c r="H137" s="150"/>
      <c r="I137" s="150"/>
      <c r="J137" s="150"/>
      <c r="K137" s="150"/>
      <c r="L137" s="150"/>
      <c r="M137" s="150"/>
    </row>
    <row r="138" spans="8:13" x14ac:dyDescent="0.25">
      <c r="H138" s="150"/>
      <c r="I138" s="150"/>
      <c r="J138" s="150"/>
      <c r="K138" s="150"/>
      <c r="L138" s="150"/>
      <c r="M138" s="150"/>
    </row>
    <row r="139" spans="8:13" x14ac:dyDescent="0.25">
      <c r="H139" s="150"/>
      <c r="I139" s="150"/>
      <c r="J139" s="150"/>
      <c r="K139" s="150"/>
      <c r="L139" s="150"/>
      <c r="M139" s="150"/>
    </row>
    <row r="140" spans="8:13" x14ac:dyDescent="0.25">
      <c r="H140" s="150"/>
      <c r="I140" s="150"/>
      <c r="J140" s="150"/>
      <c r="K140" s="150"/>
      <c r="L140" s="150"/>
      <c r="M140" s="150"/>
    </row>
    <row r="141" spans="8:13" x14ac:dyDescent="0.25">
      <c r="H141" s="150"/>
      <c r="I141" s="150"/>
      <c r="J141" s="150"/>
      <c r="K141" s="150"/>
      <c r="L141" s="150"/>
      <c r="M141" s="150"/>
    </row>
    <row r="142" spans="8:13" x14ac:dyDescent="0.25">
      <c r="H142" s="150"/>
      <c r="I142" s="150"/>
      <c r="J142" s="150"/>
      <c r="K142" s="150"/>
      <c r="L142" s="150"/>
      <c r="M142" s="150"/>
    </row>
    <row r="143" spans="8:13" x14ac:dyDescent="0.25">
      <c r="H143" s="150"/>
      <c r="I143" s="150"/>
      <c r="J143" s="150"/>
      <c r="K143" s="150"/>
      <c r="L143" s="150"/>
      <c r="M143" s="150"/>
    </row>
    <row r="144" spans="8:13" x14ac:dyDescent="0.25">
      <c r="H144" s="150"/>
      <c r="I144" s="150"/>
      <c r="J144" s="150"/>
      <c r="K144" s="150"/>
      <c r="L144" s="150"/>
      <c r="M144" s="150"/>
    </row>
    <row r="145" spans="8:13" x14ac:dyDescent="0.25">
      <c r="H145" s="150"/>
      <c r="I145" s="150"/>
      <c r="J145" s="150"/>
      <c r="K145" s="150"/>
      <c r="L145" s="150"/>
      <c r="M145" s="150"/>
    </row>
    <row r="146" spans="8:13" x14ac:dyDescent="0.25">
      <c r="H146" s="150"/>
      <c r="I146" s="150"/>
      <c r="J146" s="150"/>
      <c r="K146" s="150"/>
      <c r="L146" s="150"/>
      <c r="M146" s="150"/>
    </row>
    <row r="147" spans="8:13" x14ac:dyDescent="0.25">
      <c r="H147" s="150"/>
      <c r="I147" s="150"/>
      <c r="J147" s="150"/>
      <c r="K147" s="150"/>
      <c r="L147" s="150"/>
      <c r="M147" s="150"/>
    </row>
    <row r="148" spans="8:13" x14ac:dyDescent="0.25">
      <c r="H148" s="150"/>
      <c r="I148" s="150"/>
      <c r="J148" s="150"/>
      <c r="K148" s="150"/>
      <c r="L148" s="150"/>
      <c r="M148" s="150"/>
    </row>
    <row r="149" spans="8:13" x14ac:dyDescent="0.25">
      <c r="H149" s="150"/>
      <c r="I149" s="150"/>
      <c r="J149" s="150"/>
      <c r="K149" s="150"/>
      <c r="L149" s="150"/>
      <c r="M149" s="150"/>
    </row>
    <row r="150" spans="8:13" x14ac:dyDescent="0.25">
      <c r="H150" s="150"/>
      <c r="I150" s="150"/>
      <c r="J150" s="150"/>
      <c r="K150" s="150"/>
      <c r="L150" s="150"/>
      <c r="M150" s="150"/>
    </row>
    <row r="151" spans="8:13" x14ac:dyDescent="0.25">
      <c r="H151" s="150"/>
      <c r="I151" s="150"/>
      <c r="J151" s="150"/>
      <c r="K151" s="150"/>
      <c r="L151" s="150"/>
      <c r="M151" s="150"/>
    </row>
    <row r="152" spans="8:13" x14ac:dyDescent="0.25">
      <c r="H152" s="150"/>
      <c r="I152" s="150"/>
      <c r="J152" s="150"/>
      <c r="K152" s="150"/>
      <c r="L152" s="150"/>
      <c r="M152" s="150"/>
    </row>
    <row r="153" spans="8:13" x14ac:dyDescent="0.25">
      <c r="H153" s="150"/>
      <c r="I153" s="150"/>
      <c r="J153" s="150"/>
      <c r="K153" s="150"/>
      <c r="L153" s="150"/>
      <c r="M153" s="150"/>
    </row>
    <row r="154" spans="8:13" x14ac:dyDescent="0.25">
      <c r="H154" s="150"/>
      <c r="I154" s="150"/>
      <c r="J154" s="150"/>
      <c r="K154" s="150"/>
      <c r="L154" s="150"/>
      <c r="M154" s="150"/>
    </row>
    <row r="155" spans="8:13" x14ac:dyDescent="0.25">
      <c r="H155" s="150"/>
      <c r="I155" s="150"/>
      <c r="J155" s="150"/>
      <c r="K155" s="150"/>
      <c r="L155" s="150"/>
      <c r="M155" s="150"/>
    </row>
    <row r="156" spans="8:13" x14ac:dyDescent="0.25">
      <c r="H156" s="150"/>
      <c r="I156" s="150"/>
      <c r="J156" s="150"/>
      <c r="K156" s="150"/>
      <c r="L156" s="150"/>
      <c r="M156" s="150"/>
    </row>
    <row r="157" spans="8:13" x14ac:dyDescent="0.25">
      <c r="H157" s="150"/>
      <c r="I157" s="150"/>
      <c r="J157" s="150"/>
      <c r="K157" s="150"/>
      <c r="L157" s="150"/>
      <c r="M157" s="150"/>
    </row>
    <row r="158" spans="8:13" x14ac:dyDescent="0.25">
      <c r="H158" s="150"/>
      <c r="I158" s="150"/>
      <c r="J158" s="150"/>
      <c r="K158" s="150"/>
      <c r="L158" s="150"/>
      <c r="M158" s="150"/>
    </row>
    <row r="159" spans="8:13" x14ac:dyDescent="0.25">
      <c r="H159" s="150"/>
      <c r="I159" s="150"/>
      <c r="J159" s="150"/>
      <c r="K159" s="150"/>
      <c r="L159" s="150"/>
      <c r="M159" s="150"/>
    </row>
    <row r="160" spans="8:13" x14ac:dyDescent="0.25">
      <c r="H160" s="150"/>
      <c r="I160" s="150"/>
      <c r="J160" s="150"/>
      <c r="K160" s="150"/>
      <c r="L160" s="150"/>
      <c r="M160" s="150"/>
    </row>
    <row r="161" spans="8:13" x14ac:dyDescent="0.25">
      <c r="H161" s="150"/>
      <c r="I161" s="150"/>
      <c r="J161" s="150"/>
      <c r="K161" s="150"/>
      <c r="L161" s="150"/>
      <c r="M161" s="150"/>
    </row>
    <row r="162" spans="8:13" x14ac:dyDescent="0.25">
      <c r="H162" s="150"/>
      <c r="I162" s="150"/>
      <c r="J162" s="150"/>
      <c r="K162" s="150"/>
      <c r="L162" s="150"/>
      <c r="M162" s="150"/>
    </row>
    <row r="163" spans="8:13" x14ac:dyDescent="0.25">
      <c r="H163" s="150"/>
      <c r="I163" s="150"/>
      <c r="J163" s="150"/>
      <c r="K163" s="150"/>
      <c r="L163" s="150"/>
      <c r="M163" s="150"/>
    </row>
    <row r="164" spans="8:13" x14ac:dyDescent="0.25">
      <c r="H164" s="150"/>
      <c r="I164" s="150"/>
      <c r="J164" s="150"/>
      <c r="K164" s="150"/>
      <c r="L164" s="150"/>
      <c r="M164" s="150"/>
    </row>
    <row r="165" spans="8:13" x14ac:dyDescent="0.25">
      <c r="H165" s="150"/>
      <c r="I165" s="150"/>
      <c r="J165" s="150"/>
      <c r="K165" s="150"/>
      <c r="L165" s="150"/>
      <c r="M165" s="150"/>
    </row>
    <row r="166" spans="8:13" x14ac:dyDescent="0.25">
      <c r="H166" s="150"/>
      <c r="I166" s="150"/>
      <c r="J166" s="150"/>
      <c r="K166" s="150"/>
      <c r="L166" s="150"/>
      <c r="M166" s="150"/>
    </row>
    <row r="167" spans="8:13" x14ac:dyDescent="0.25">
      <c r="H167" s="150"/>
      <c r="I167" s="150"/>
      <c r="J167" s="150"/>
      <c r="K167" s="150"/>
      <c r="L167" s="150"/>
      <c r="M167" s="150"/>
    </row>
    <row r="168" spans="8:13" x14ac:dyDescent="0.25">
      <c r="H168" s="150"/>
      <c r="I168" s="150"/>
      <c r="J168" s="150"/>
      <c r="K168" s="150"/>
      <c r="L168" s="150"/>
      <c r="M168" s="150"/>
    </row>
    <row r="169" spans="8:13" x14ac:dyDescent="0.25">
      <c r="H169" s="150"/>
      <c r="I169" s="150"/>
      <c r="J169" s="150"/>
      <c r="K169" s="150"/>
      <c r="L169" s="150"/>
      <c r="M169" s="150"/>
    </row>
    <row r="170" spans="8:13" x14ac:dyDescent="0.25">
      <c r="H170" s="150"/>
      <c r="I170" s="150"/>
      <c r="J170" s="150"/>
      <c r="K170" s="150"/>
      <c r="L170" s="150"/>
      <c r="M170" s="150"/>
    </row>
    <row r="171" spans="8:13" x14ac:dyDescent="0.25">
      <c r="H171" s="150"/>
      <c r="I171" s="150"/>
      <c r="J171" s="150"/>
      <c r="K171" s="150"/>
      <c r="L171" s="150"/>
      <c r="M171" s="150"/>
    </row>
    <row r="172" spans="8:13" x14ac:dyDescent="0.25">
      <c r="H172" s="150"/>
      <c r="I172" s="150"/>
      <c r="J172" s="150"/>
      <c r="K172" s="150"/>
      <c r="L172" s="150"/>
      <c r="M172" s="150"/>
    </row>
    <row r="173" spans="8:13" x14ac:dyDescent="0.25">
      <c r="H173" s="150"/>
      <c r="I173" s="150"/>
      <c r="J173" s="150"/>
      <c r="K173" s="150"/>
      <c r="L173" s="150"/>
      <c r="M173" s="150"/>
    </row>
    <row r="174" spans="8:13" x14ac:dyDescent="0.25">
      <c r="H174" s="150"/>
      <c r="I174" s="150"/>
      <c r="J174" s="150"/>
      <c r="K174" s="150"/>
      <c r="L174" s="150"/>
      <c r="M174" s="150"/>
    </row>
    <row r="175" spans="8:13" x14ac:dyDescent="0.25">
      <c r="H175" s="150"/>
      <c r="I175" s="150"/>
      <c r="J175" s="150"/>
      <c r="K175" s="150"/>
      <c r="L175" s="150"/>
      <c r="M175" s="150"/>
    </row>
    <row r="176" spans="8:13" x14ac:dyDescent="0.25">
      <c r="H176" s="150"/>
      <c r="I176" s="150"/>
      <c r="J176" s="150"/>
      <c r="K176" s="150"/>
      <c r="L176" s="150"/>
      <c r="M176" s="150"/>
    </row>
    <row r="177" spans="8:13" x14ac:dyDescent="0.25">
      <c r="H177" s="150"/>
      <c r="I177" s="150"/>
      <c r="J177" s="150"/>
      <c r="K177" s="150"/>
      <c r="L177" s="150"/>
      <c r="M177" s="150"/>
    </row>
    <row r="178" spans="8:13" x14ac:dyDescent="0.25">
      <c r="H178" s="150"/>
      <c r="I178" s="150"/>
      <c r="J178" s="150"/>
      <c r="K178" s="150"/>
      <c r="L178" s="150"/>
      <c r="M178" s="150"/>
    </row>
    <row r="179" spans="8:13" x14ac:dyDescent="0.25">
      <c r="H179" s="150"/>
      <c r="I179" s="150"/>
      <c r="J179" s="150"/>
      <c r="K179" s="150"/>
      <c r="L179" s="150"/>
      <c r="M179" s="150"/>
    </row>
    <row r="180" spans="8:13" x14ac:dyDescent="0.25">
      <c r="H180" s="150"/>
      <c r="I180" s="150"/>
      <c r="J180" s="150"/>
      <c r="K180" s="150"/>
      <c r="L180" s="150"/>
      <c r="M180" s="150"/>
    </row>
    <row r="181" spans="8:13" x14ac:dyDescent="0.25">
      <c r="H181" s="150"/>
      <c r="I181" s="150"/>
      <c r="J181" s="150"/>
      <c r="K181" s="150"/>
      <c r="L181" s="150"/>
      <c r="M181" s="150"/>
    </row>
    <row r="182" spans="8:13" x14ac:dyDescent="0.25">
      <c r="H182" s="150"/>
      <c r="I182" s="150"/>
      <c r="J182" s="150"/>
      <c r="K182" s="150"/>
      <c r="L182" s="150"/>
      <c r="M182" s="150"/>
    </row>
    <row r="183" spans="8:13" x14ac:dyDescent="0.25">
      <c r="H183" s="150"/>
      <c r="I183" s="150"/>
      <c r="J183" s="150"/>
      <c r="K183" s="150"/>
      <c r="L183" s="150"/>
      <c r="M183" s="150"/>
    </row>
    <row r="184" spans="8:13" x14ac:dyDescent="0.25">
      <c r="H184" s="150"/>
      <c r="I184" s="150"/>
      <c r="J184" s="150"/>
      <c r="K184" s="150"/>
      <c r="L184" s="150"/>
      <c r="M184" s="150"/>
    </row>
    <row r="185" spans="8:13" x14ac:dyDescent="0.25">
      <c r="H185" s="150"/>
      <c r="I185" s="150"/>
      <c r="J185" s="150"/>
      <c r="K185" s="150"/>
      <c r="L185" s="150"/>
      <c r="M185" s="150"/>
    </row>
    <row r="186" spans="8:13" x14ac:dyDescent="0.25">
      <c r="H186" s="150"/>
      <c r="I186" s="150"/>
      <c r="J186" s="150"/>
      <c r="K186" s="150"/>
      <c r="L186" s="150"/>
      <c r="M186" s="150"/>
    </row>
    <row r="187" spans="8:13" x14ac:dyDescent="0.25">
      <c r="H187" s="150"/>
      <c r="I187" s="150"/>
      <c r="J187" s="150"/>
      <c r="K187" s="150"/>
      <c r="L187" s="150"/>
      <c r="M187" s="150"/>
    </row>
    <row r="188" spans="8:13" x14ac:dyDescent="0.25">
      <c r="H188" s="150"/>
      <c r="I188" s="150"/>
      <c r="J188" s="150"/>
      <c r="K188" s="150"/>
      <c r="L188" s="150"/>
      <c r="M188" s="150"/>
    </row>
    <row r="189" spans="8:13" x14ac:dyDescent="0.25">
      <c r="H189" s="150"/>
      <c r="I189" s="150"/>
      <c r="J189" s="150"/>
      <c r="K189" s="150"/>
      <c r="L189" s="150"/>
      <c r="M189" s="150"/>
    </row>
    <row r="190" spans="8:13" x14ac:dyDescent="0.25">
      <c r="H190" s="150"/>
      <c r="I190" s="150"/>
      <c r="J190" s="150"/>
      <c r="K190" s="150"/>
      <c r="L190" s="150"/>
      <c r="M190" s="150"/>
    </row>
    <row r="191" spans="8:13" x14ac:dyDescent="0.25">
      <c r="H191" s="150"/>
      <c r="I191" s="150"/>
      <c r="J191" s="150"/>
      <c r="K191" s="150"/>
      <c r="L191" s="150"/>
      <c r="M191" s="150"/>
    </row>
    <row r="192" spans="8:13" x14ac:dyDescent="0.25">
      <c r="H192" s="150"/>
      <c r="I192" s="150"/>
      <c r="J192" s="150"/>
      <c r="K192" s="150"/>
      <c r="L192" s="150"/>
      <c r="M192" s="150"/>
    </row>
    <row r="193" spans="8:13" x14ac:dyDescent="0.25">
      <c r="H193" s="150"/>
      <c r="I193" s="150"/>
      <c r="J193" s="150"/>
      <c r="K193" s="150"/>
      <c r="L193" s="150"/>
      <c r="M193" s="150"/>
    </row>
    <row r="194" spans="8:13" x14ac:dyDescent="0.25">
      <c r="H194" s="150"/>
      <c r="I194" s="150"/>
      <c r="J194" s="150"/>
      <c r="K194" s="150"/>
      <c r="L194" s="150"/>
      <c r="M194" s="150"/>
    </row>
    <row r="195" spans="8:13" x14ac:dyDescent="0.25">
      <c r="H195" s="150"/>
      <c r="I195" s="150"/>
      <c r="J195" s="150"/>
      <c r="K195" s="150"/>
      <c r="L195" s="150"/>
      <c r="M195" s="150"/>
    </row>
    <row r="196" spans="8:13" x14ac:dyDescent="0.25">
      <c r="H196" s="150"/>
      <c r="I196" s="150"/>
      <c r="J196" s="150"/>
      <c r="K196" s="150"/>
      <c r="L196" s="150"/>
      <c r="M196" s="150"/>
    </row>
    <row r="197" spans="8:13" x14ac:dyDescent="0.25">
      <c r="H197" s="150"/>
      <c r="I197" s="150"/>
      <c r="J197" s="150"/>
      <c r="K197" s="150"/>
      <c r="L197" s="150"/>
      <c r="M197" s="150"/>
    </row>
    <row r="198" spans="8:13" x14ac:dyDescent="0.25">
      <c r="H198" s="150"/>
      <c r="I198" s="150"/>
      <c r="J198" s="150"/>
      <c r="K198" s="150"/>
      <c r="L198" s="150"/>
      <c r="M198" s="150"/>
    </row>
    <row r="199" spans="8:13" x14ac:dyDescent="0.25">
      <c r="H199" s="150"/>
      <c r="I199" s="150"/>
      <c r="J199" s="150"/>
      <c r="K199" s="150"/>
      <c r="L199" s="150"/>
      <c r="M199" s="150"/>
    </row>
    <row r="200" spans="8:13" x14ac:dyDescent="0.25">
      <c r="H200" s="150"/>
      <c r="I200" s="150"/>
      <c r="J200" s="150"/>
      <c r="K200" s="150"/>
      <c r="L200" s="150"/>
      <c r="M200" s="150"/>
    </row>
    <row r="201" spans="8:13" x14ac:dyDescent="0.25">
      <c r="H201" s="150"/>
      <c r="I201" s="150"/>
      <c r="J201" s="150"/>
      <c r="K201" s="150"/>
      <c r="L201" s="150"/>
      <c r="M201" s="150"/>
    </row>
    <row r="202" spans="8:13" x14ac:dyDescent="0.25">
      <c r="H202" s="150"/>
      <c r="I202" s="150"/>
      <c r="J202" s="150"/>
      <c r="K202" s="150"/>
      <c r="L202" s="150"/>
      <c r="M202" s="150"/>
    </row>
    <row r="203" spans="8:13" x14ac:dyDescent="0.25">
      <c r="H203" s="150"/>
      <c r="I203" s="150"/>
      <c r="J203" s="150"/>
      <c r="K203" s="150"/>
      <c r="L203" s="150"/>
      <c r="M203" s="150"/>
    </row>
    <row r="204" spans="8:13" x14ac:dyDescent="0.25">
      <c r="H204" s="150"/>
      <c r="I204" s="150"/>
      <c r="J204" s="150"/>
      <c r="K204" s="150"/>
      <c r="L204" s="150"/>
      <c r="M204" s="150"/>
    </row>
    <row r="205" spans="8:13" x14ac:dyDescent="0.25">
      <c r="H205" s="150"/>
      <c r="I205" s="150"/>
      <c r="J205" s="150"/>
      <c r="K205" s="150"/>
      <c r="L205" s="150"/>
      <c r="M205" s="150"/>
    </row>
    <row r="206" spans="8:13" x14ac:dyDescent="0.25">
      <c r="H206" s="150"/>
      <c r="I206" s="150"/>
      <c r="J206" s="150"/>
      <c r="K206" s="150"/>
      <c r="L206" s="150"/>
      <c r="M206" s="150"/>
    </row>
    <row r="207" spans="8:13" x14ac:dyDescent="0.25">
      <c r="H207" s="150"/>
      <c r="I207" s="150"/>
      <c r="J207" s="150"/>
      <c r="K207" s="150"/>
      <c r="L207" s="150"/>
      <c r="M207" s="150"/>
    </row>
    <row r="208" spans="8:13" x14ac:dyDescent="0.25">
      <c r="H208" s="150"/>
      <c r="I208" s="150"/>
      <c r="J208" s="150"/>
      <c r="K208" s="150"/>
      <c r="L208" s="150"/>
      <c r="M208" s="150"/>
    </row>
    <row r="209" spans="8:13" x14ac:dyDescent="0.25">
      <c r="H209" s="150"/>
      <c r="I209" s="150"/>
      <c r="J209" s="150"/>
      <c r="K209" s="150"/>
      <c r="L209" s="150"/>
      <c r="M209" s="150"/>
    </row>
    <row r="210" spans="8:13" x14ac:dyDescent="0.25">
      <c r="H210" s="150"/>
      <c r="I210" s="150"/>
      <c r="J210" s="150"/>
      <c r="K210" s="150"/>
      <c r="L210" s="150"/>
      <c r="M210" s="150"/>
    </row>
    <row r="211" spans="8:13" x14ac:dyDescent="0.25">
      <c r="H211" s="150"/>
      <c r="I211" s="150"/>
      <c r="J211" s="150"/>
      <c r="K211" s="150"/>
      <c r="L211" s="150"/>
      <c r="M211" s="150"/>
    </row>
    <row r="212" spans="8:13" x14ac:dyDescent="0.25">
      <c r="H212" s="150"/>
      <c r="I212" s="150"/>
      <c r="J212" s="150"/>
      <c r="K212" s="150"/>
      <c r="L212" s="150"/>
      <c r="M212" s="150"/>
    </row>
    <row r="213" spans="8:13" x14ac:dyDescent="0.25">
      <c r="H213" s="150"/>
      <c r="I213" s="150"/>
      <c r="J213" s="150"/>
      <c r="K213" s="150"/>
      <c r="L213" s="150"/>
      <c r="M213" s="150"/>
    </row>
    <row r="214" spans="8:13" x14ac:dyDescent="0.25">
      <c r="H214" s="150"/>
      <c r="I214" s="150"/>
      <c r="J214" s="150"/>
      <c r="K214" s="150"/>
      <c r="L214" s="150"/>
      <c r="M214" s="150"/>
    </row>
    <row r="215" spans="8:13" x14ac:dyDescent="0.25">
      <c r="H215" s="150"/>
      <c r="I215" s="150"/>
      <c r="J215" s="150"/>
      <c r="K215" s="150"/>
      <c r="L215" s="150"/>
      <c r="M215" s="150"/>
    </row>
    <row r="216" spans="8:13" x14ac:dyDescent="0.25">
      <c r="H216" s="150"/>
      <c r="I216" s="150"/>
      <c r="J216" s="150"/>
      <c r="K216" s="150"/>
      <c r="L216" s="150"/>
      <c r="M216" s="150"/>
    </row>
    <row r="217" spans="8:13" x14ac:dyDescent="0.25">
      <c r="H217" s="150"/>
      <c r="I217" s="150"/>
      <c r="J217" s="150"/>
      <c r="K217" s="150"/>
      <c r="L217" s="150"/>
      <c r="M217" s="150"/>
    </row>
    <row r="218" spans="8:13" x14ac:dyDescent="0.25">
      <c r="H218" s="150"/>
      <c r="I218" s="150"/>
      <c r="J218" s="150"/>
      <c r="K218" s="150"/>
      <c r="L218" s="150"/>
      <c r="M218" s="150"/>
    </row>
    <row r="219" spans="8:13" x14ac:dyDescent="0.25">
      <c r="H219" s="150"/>
      <c r="I219" s="150"/>
      <c r="J219" s="150"/>
      <c r="K219" s="150"/>
      <c r="L219" s="150"/>
      <c r="M219" s="150"/>
    </row>
    <row r="220" spans="8:13" x14ac:dyDescent="0.25">
      <c r="H220" s="150"/>
      <c r="I220" s="150"/>
      <c r="J220" s="150"/>
      <c r="K220" s="150"/>
      <c r="L220" s="150"/>
      <c r="M220" s="150"/>
    </row>
    <row r="221" spans="8:13" x14ac:dyDescent="0.25">
      <c r="H221" s="150"/>
      <c r="I221" s="150"/>
      <c r="J221" s="150"/>
      <c r="K221" s="150"/>
      <c r="L221" s="150"/>
      <c r="M221" s="150"/>
    </row>
    <row r="222" spans="8:13" x14ac:dyDescent="0.25">
      <c r="H222" s="150"/>
      <c r="I222" s="150"/>
      <c r="J222" s="150"/>
      <c r="K222" s="150"/>
      <c r="L222" s="150"/>
      <c r="M222" s="150"/>
    </row>
    <row r="223" spans="8:13" x14ac:dyDescent="0.25">
      <c r="H223" s="150"/>
      <c r="I223" s="150"/>
      <c r="J223" s="150"/>
      <c r="K223" s="150"/>
      <c r="L223" s="150"/>
      <c r="M223" s="150"/>
    </row>
    <row r="224" spans="8:13" x14ac:dyDescent="0.25">
      <c r="H224" s="150"/>
      <c r="I224" s="150"/>
      <c r="J224" s="150"/>
      <c r="K224" s="150"/>
      <c r="L224" s="150"/>
      <c r="M224" s="150"/>
    </row>
    <row r="225" spans="8:13" x14ac:dyDescent="0.25">
      <c r="H225" s="150"/>
      <c r="I225" s="150"/>
      <c r="J225" s="150"/>
      <c r="K225" s="150"/>
      <c r="L225" s="150"/>
      <c r="M225" s="150"/>
    </row>
    <row r="226" spans="8:13" x14ac:dyDescent="0.25">
      <c r="H226" s="150"/>
      <c r="I226" s="150"/>
      <c r="J226" s="150"/>
      <c r="K226" s="150"/>
      <c r="L226" s="150"/>
      <c r="M226" s="150"/>
    </row>
    <row r="227" spans="8:13" x14ac:dyDescent="0.25">
      <c r="H227" s="150"/>
      <c r="I227" s="150"/>
      <c r="J227" s="150"/>
      <c r="K227" s="150"/>
      <c r="L227" s="150"/>
      <c r="M227" s="150"/>
    </row>
    <row r="228" spans="8:13" x14ac:dyDescent="0.25">
      <c r="H228" s="150"/>
      <c r="I228" s="150"/>
      <c r="J228" s="150"/>
      <c r="K228" s="150"/>
      <c r="L228" s="150"/>
      <c r="M228" s="150"/>
    </row>
    <row r="229" spans="8:13" x14ac:dyDescent="0.25">
      <c r="H229" s="150"/>
      <c r="I229" s="150"/>
      <c r="J229" s="150"/>
      <c r="K229" s="150"/>
      <c r="L229" s="150"/>
      <c r="M229" s="150"/>
    </row>
    <row r="230" spans="8:13" x14ac:dyDescent="0.25">
      <c r="H230" s="150"/>
      <c r="I230" s="150"/>
      <c r="J230" s="150"/>
      <c r="K230" s="150"/>
      <c r="L230" s="150"/>
      <c r="M230" s="150"/>
    </row>
    <row r="231" spans="8:13" x14ac:dyDescent="0.25">
      <c r="H231" s="150"/>
      <c r="I231" s="150"/>
      <c r="J231" s="150"/>
      <c r="K231" s="150"/>
      <c r="L231" s="150"/>
      <c r="M231" s="150"/>
    </row>
    <row r="232" spans="8:13" x14ac:dyDescent="0.25">
      <c r="H232" s="150"/>
      <c r="I232" s="150"/>
      <c r="J232" s="150"/>
      <c r="K232" s="150"/>
      <c r="L232" s="150"/>
      <c r="M232" s="150"/>
    </row>
    <row r="233" spans="8:13" x14ac:dyDescent="0.25">
      <c r="H233" s="150"/>
      <c r="I233" s="150"/>
      <c r="J233" s="150"/>
      <c r="K233" s="150"/>
      <c r="L233" s="150"/>
      <c r="M233" s="150"/>
    </row>
    <row r="234" spans="8:13" x14ac:dyDescent="0.25">
      <c r="H234" s="150"/>
      <c r="I234" s="150"/>
      <c r="J234" s="150"/>
      <c r="K234" s="150"/>
      <c r="L234" s="150"/>
      <c r="M234" s="150"/>
    </row>
    <row r="235" spans="8:13" x14ac:dyDescent="0.25">
      <c r="H235" s="150"/>
      <c r="I235" s="150"/>
      <c r="J235" s="150"/>
      <c r="K235" s="150"/>
      <c r="L235" s="150"/>
      <c r="M235" s="150"/>
    </row>
    <row r="236" spans="8:13" x14ac:dyDescent="0.25">
      <c r="H236" s="150"/>
      <c r="I236" s="150"/>
      <c r="J236" s="150"/>
      <c r="K236" s="150"/>
      <c r="L236" s="150"/>
      <c r="M236" s="150"/>
    </row>
    <row r="237" spans="8:13" x14ac:dyDescent="0.25">
      <c r="H237" s="150"/>
      <c r="I237" s="150"/>
      <c r="J237" s="150"/>
      <c r="K237" s="150"/>
      <c r="L237" s="150"/>
      <c r="M237" s="150"/>
    </row>
    <row r="238" spans="8:13" x14ac:dyDescent="0.25">
      <c r="H238" s="150"/>
      <c r="I238" s="150"/>
      <c r="J238" s="150"/>
      <c r="K238" s="150"/>
      <c r="L238" s="150"/>
      <c r="M238" s="150"/>
    </row>
    <row r="239" spans="8:13" x14ac:dyDescent="0.25">
      <c r="H239" s="150"/>
      <c r="I239" s="150"/>
      <c r="J239" s="150"/>
      <c r="K239" s="150"/>
      <c r="L239" s="150"/>
      <c r="M239" s="150"/>
    </row>
    <row r="240" spans="8:13" x14ac:dyDescent="0.25">
      <c r="H240" s="150"/>
      <c r="I240" s="150"/>
      <c r="J240" s="150"/>
      <c r="K240" s="150"/>
      <c r="L240" s="150"/>
      <c r="M240" s="150"/>
    </row>
    <row r="241" spans="8:13" x14ac:dyDescent="0.25">
      <c r="H241" s="150"/>
      <c r="I241" s="150"/>
      <c r="J241" s="150"/>
      <c r="K241" s="150"/>
      <c r="L241" s="150"/>
      <c r="M241" s="150"/>
    </row>
    <row r="242" spans="8:13" x14ac:dyDescent="0.25">
      <c r="H242" s="150"/>
      <c r="I242" s="150"/>
      <c r="J242" s="150"/>
      <c r="K242" s="150"/>
      <c r="L242" s="150"/>
      <c r="M242" s="150"/>
    </row>
    <row r="243" spans="8:13" x14ac:dyDescent="0.25">
      <c r="H243" s="150"/>
      <c r="I243" s="150"/>
      <c r="J243" s="150"/>
      <c r="K243" s="150"/>
      <c r="L243" s="150"/>
      <c r="M243" s="150"/>
    </row>
    <row r="244" spans="8:13" x14ac:dyDescent="0.25">
      <c r="H244" s="150"/>
      <c r="I244" s="150"/>
      <c r="J244" s="150"/>
      <c r="K244" s="150"/>
      <c r="L244" s="150"/>
      <c r="M244" s="150"/>
    </row>
    <row r="245" spans="8:13" x14ac:dyDescent="0.25">
      <c r="H245" s="150"/>
      <c r="I245" s="150"/>
      <c r="J245" s="150"/>
      <c r="K245" s="150"/>
      <c r="L245" s="150"/>
      <c r="M245" s="150"/>
    </row>
    <row r="246" spans="8:13" x14ac:dyDescent="0.25">
      <c r="H246" s="150"/>
      <c r="I246" s="150"/>
      <c r="J246" s="150"/>
      <c r="K246" s="150"/>
      <c r="L246" s="150"/>
      <c r="M246" s="150"/>
    </row>
    <row r="247" spans="8:13" x14ac:dyDescent="0.25">
      <c r="H247" s="150"/>
      <c r="I247" s="150"/>
      <c r="J247" s="150"/>
      <c r="K247" s="150"/>
      <c r="L247" s="150"/>
      <c r="M247" s="150"/>
    </row>
    <row r="248" spans="8:13" x14ac:dyDescent="0.25">
      <c r="H248" s="150"/>
      <c r="I248" s="150"/>
      <c r="J248" s="150"/>
      <c r="K248" s="150"/>
      <c r="L248" s="150"/>
      <c r="M248" s="150"/>
    </row>
    <row r="249" spans="8:13" x14ac:dyDescent="0.25">
      <c r="L249" s="150"/>
      <c r="M249" s="150"/>
    </row>
    <row r="250" spans="8:13" x14ac:dyDescent="0.25">
      <c r="L250" s="150"/>
      <c r="M250" s="150"/>
    </row>
    <row r="251" spans="8:13" x14ac:dyDescent="0.25">
      <c r="L251" s="150"/>
      <c r="M251" s="150"/>
    </row>
    <row r="252" spans="8:13" x14ac:dyDescent="0.25">
      <c r="L252" s="150"/>
      <c r="M252" s="150"/>
    </row>
    <row r="253" spans="8:13" x14ac:dyDescent="0.25">
      <c r="L253" s="150"/>
      <c r="M253" s="150"/>
    </row>
    <row r="254" spans="8:13" x14ac:dyDescent="0.25">
      <c r="L254" s="150"/>
      <c r="M254" s="150"/>
    </row>
    <row r="255" spans="8:13" x14ac:dyDescent="0.25">
      <c r="L255" s="150"/>
      <c r="M255" s="150"/>
    </row>
    <row r="256" spans="8:13" x14ac:dyDescent="0.25">
      <c r="L256" s="150"/>
      <c r="M256" s="150"/>
    </row>
    <row r="257" spans="12:13" x14ac:dyDescent="0.25">
      <c r="L257" s="150"/>
      <c r="M257" s="150"/>
    </row>
    <row r="258" spans="12:13" x14ac:dyDescent="0.25">
      <c r="L258" s="150"/>
      <c r="M258" s="150"/>
    </row>
  </sheetData>
  <sheetProtection algorithmName="SHA-512" hashValue="7pawFMqiIh+C5gy4PxTydMuz7I6hrfYtI1Qo0oZM4RkzwKZgfYldJiwp9wIjOtFTuauV15etzFBV6+t+jI3o9w==" saltValue="kjhBmdAWPZbwYbifYNE6og==" spinCount="100000" sheet="1" objects="1" scenarios="1"/>
  <mergeCells count="20">
    <mergeCell ref="G5:G6"/>
    <mergeCell ref="H5:H6"/>
    <mergeCell ref="I5:I6"/>
    <mergeCell ref="J5:J6"/>
    <mergeCell ref="K5:K6"/>
    <mergeCell ref="U1:U2"/>
    <mergeCell ref="A1:A2"/>
    <mergeCell ref="B1:B2"/>
    <mergeCell ref="C1:C2"/>
    <mergeCell ref="D1:D2"/>
    <mergeCell ref="E1:E2"/>
    <mergeCell ref="N1:N2"/>
    <mergeCell ref="L2:L3"/>
    <mergeCell ref="F1:G1"/>
    <mergeCell ref="H2:I2"/>
    <mergeCell ref="O1:O2"/>
    <mergeCell ref="P1:P2"/>
    <mergeCell ref="Q1:Q2"/>
    <mergeCell ref="R1:R2"/>
    <mergeCell ref="F2:G2"/>
  </mergeCells>
  <pageMargins left="0.25" right="0.25" top="0.75" bottom="0.75" header="0.3" footer="0.3"/>
  <pageSetup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
  <sheetViews>
    <sheetView zoomScale="85" zoomScaleNormal="85" workbookViewId="0">
      <selection activeCell="G21" sqref="G21"/>
    </sheetView>
  </sheetViews>
  <sheetFormatPr defaultRowHeight="15" x14ac:dyDescent="0.25"/>
  <cols>
    <col min="1" max="1" width="9.140625" style="148"/>
    <col min="2" max="2" width="14" style="148" customWidth="1"/>
    <col min="3" max="3" width="10" style="148" customWidth="1"/>
    <col min="4" max="4" width="11.28515625" style="148" customWidth="1"/>
    <col min="5" max="5" width="9.140625" style="148"/>
    <col min="6" max="6" width="22.5703125" style="148" bestFit="1" customWidth="1"/>
    <col min="7" max="16384" width="9.140625" style="148"/>
  </cols>
  <sheetData>
    <row r="1" spans="1:13" ht="15.75" customHeight="1" thickBot="1" x14ac:dyDescent="0.3">
      <c r="A1" s="340" t="s">
        <v>154</v>
      </c>
      <c r="B1" s="340" t="s">
        <v>372</v>
      </c>
      <c r="C1" s="340" t="s">
        <v>156</v>
      </c>
      <c r="D1" s="340" t="s">
        <v>158</v>
      </c>
      <c r="E1" s="340" t="s">
        <v>157</v>
      </c>
      <c r="F1" s="170" t="str">
        <f>Data!H114&amp;" = Heaviest"</f>
        <v>+ = Heaviest</v>
      </c>
      <c r="G1" s="149">
        <f>Data!Q2</f>
        <v>45345</v>
      </c>
      <c r="H1" s="168"/>
      <c r="J1" s="169"/>
      <c r="K1" s="169"/>
      <c r="L1" s="169"/>
    </row>
    <row r="2" spans="1:13" ht="20.25" customHeight="1" thickBot="1" x14ac:dyDescent="0.3">
      <c r="A2" s="340"/>
      <c r="B2" s="340"/>
      <c r="C2" s="340"/>
      <c r="D2" s="340"/>
      <c r="E2" s="340"/>
      <c r="F2" s="180" t="str">
        <f>Data!H115&amp;" = Most Forward C/G"</f>
        <v>++ = Most Forward C/G</v>
      </c>
      <c r="G2" s="338" t="s">
        <v>384</v>
      </c>
      <c r="H2" s="339"/>
      <c r="I2" s="169"/>
      <c r="J2" s="169"/>
      <c r="K2" s="169"/>
      <c r="L2" s="169"/>
    </row>
    <row r="3" spans="1:13" ht="15" customHeight="1" x14ac:dyDescent="0.25">
      <c r="A3" s="153" t="str">
        <f>Data!P74</f>
        <v>TH-57B</v>
      </c>
      <c r="B3" s="153" t="str">
        <f>Data!U74</f>
        <v>140 (161696)</v>
      </c>
      <c r="C3" s="154">
        <f>Data!R74</f>
        <v>1984.2</v>
      </c>
      <c r="D3" s="154">
        <f>Data!T74</f>
        <v>2347.98</v>
      </c>
      <c r="E3" s="155">
        <f>Data!S74</f>
        <v>118.33</v>
      </c>
      <c r="F3" s="203"/>
      <c r="G3" s="204"/>
      <c r="H3" s="204"/>
      <c r="I3" s="169"/>
      <c r="J3" s="169"/>
      <c r="K3" s="169"/>
      <c r="L3" s="169"/>
    </row>
    <row r="4" spans="1:13" ht="15" customHeight="1" x14ac:dyDescent="0.25">
      <c r="A4" s="211" t="s">
        <v>162</v>
      </c>
      <c r="B4" s="211" t="s">
        <v>256</v>
      </c>
      <c r="C4" s="212">
        <v>1979.5</v>
      </c>
      <c r="D4" s="213">
        <v>118.36</v>
      </c>
      <c r="E4" s="212">
        <v>2342.89</v>
      </c>
      <c r="F4" s="203"/>
      <c r="G4" s="204"/>
      <c r="H4" s="204"/>
      <c r="I4" s="169"/>
      <c r="J4" s="169"/>
      <c r="K4" s="169"/>
      <c r="L4" s="169"/>
    </row>
    <row r="5" spans="1:13" ht="15" customHeight="1" x14ac:dyDescent="0.25">
      <c r="A5" s="208" t="str">
        <f>Data!P76</f>
        <v>TH-57B</v>
      </c>
      <c r="B5" s="208" t="str">
        <f>Data!U76</f>
        <v>142 (161698)</v>
      </c>
      <c r="C5" s="209">
        <f>Data!R76</f>
        <v>1972.1</v>
      </c>
      <c r="D5" s="209">
        <f>Data!T76</f>
        <v>2324.7800000000002</v>
      </c>
      <c r="E5" s="210">
        <f>Data!S76</f>
        <v>117.88</v>
      </c>
      <c r="F5" s="148" t="str">
        <f ca="1">VLOOKUP(B5,Data!$U$4:$W$116,3,FALSE)</f>
        <v/>
      </c>
      <c r="H5" s="160"/>
      <c r="I5" s="163"/>
      <c r="M5" s="160"/>
    </row>
    <row r="6" spans="1:13" ht="15" customHeight="1" x14ac:dyDescent="0.25">
      <c r="A6" s="153" t="str">
        <f>Data!P77</f>
        <v>TH-57B</v>
      </c>
      <c r="B6" s="153" t="str">
        <f>Data!U77</f>
        <v>143 (161699)</v>
      </c>
      <c r="C6" s="154">
        <f>Data!R77</f>
        <v>1986.5</v>
      </c>
      <c r="D6" s="154">
        <f>Data!T77</f>
        <v>2344.0700000000002</v>
      </c>
      <c r="E6" s="155">
        <f>Data!S77</f>
        <v>118</v>
      </c>
      <c r="F6" s="148" t="str">
        <f ca="1">VLOOKUP(B6,Data!$U$4:$W$116,3,FALSE)</f>
        <v/>
      </c>
      <c r="H6" s="160"/>
      <c r="I6" s="163"/>
      <c r="M6" s="160"/>
    </row>
    <row r="7" spans="1:13" x14ac:dyDescent="0.25">
      <c r="A7" s="153" t="str">
        <f>Data!P78</f>
        <v>TH-57B</v>
      </c>
      <c r="B7" s="153" t="str">
        <f>Data!U78</f>
        <v>144 (161700)</v>
      </c>
      <c r="C7" s="154">
        <f>Data!R78</f>
        <v>1964</v>
      </c>
      <c r="D7" s="154">
        <f>Data!T78</f>
        <v>2330.6</v>
      </c>
      <c r="E7" s="155">
        <f>Data!S78</f>
        <v>118.67</v>
      </c>
      <c r="F7" s="148" t="str">
        <f ca="1">VLOOKUP(B7,Data!$U$4:$W$116,3,FALSE)</f>
        <v/>
      </c>
      <c r="H7" s="160"/>
      <c r="I7" s="163"/>
      <c r="M7" s="160"/>
    </row>
    <row r="8" spans="1:13" x14ac:dyDescent="0.25">
      <c r="A8" s="153" t="str">
        <f>Data!P79</f>
        <v>TH-57B</v>
      </c>
      <c r="B8" s="153" t="str">
        <f>Data!U79</f>
        <v>146 (161695)</v>
      </c>
      <c r="C8" s="154">
        <f>Data!R79</f>
        <v>2012.5</v>
      </c>
      <c r="D8" s="154">
        <f>Data!T79</f>
        <v>2356.73</v>
      </c>
      <c r="E8" s="155">
        <f>Data!S79</f>
        <v>117.1</v>
      </c>
      <c r="F8" s="148" t="str">
        <f ca="1">VLOOKUP(B8,Data!$U$4:$W$116,3,FALSE)</f>
        <v>++</v>
      </c>
      <c r="H8" s="160"/>
      <c r="I8" s="163"/>
      <c r="M8" s="160"/>
    </row>
    <row r="9" spans="1:13" x14ac:dyDescent="0.25">
      <c r="A9" s="153" t="str">
        <f>Data!P80</f>
        <v>TH-57B</v>
      </c>
      <c r="B9" s="153" t="str">
        <f>Data!U80</f>
        <v>147 (162803)</v>
      </c>
      <c r="C9" s="154">
        <f>Data!R80</f>
        <v>1995.6</v>
      </c>
      <c r="D9" s="154">
        <f>Data!T80</f>
        <v>2350.04</v>
      </c>
      <c r="E9" s="155">
        <f>Data!S80</f>
        <v>117.76</v>
      </c>
      <c r="F9" s="148" t="str">
        <f ca="1">VLOOKUP(B9,Data!$U$4:$W$116,3,FALSE)</f>
        <v/>
      </c>
      <c r="H9" s="160"/>
      <c r="I9" s="163"/>
      <c r="M9" s="160"/>
    </row>
    <row r="10" spans="1:13" x14ac:dyDescent="0.25">
      <c r="A10" s="153" t="str">
        <f>Data!P81</f>
        <v>TH-57B</v>
      </c>
      <c r="B10" s="153" t="str">
        <f>Data!U81</f>
        <v>148 (162804)</v>
      </c>
      <c r="C10" s="154">
        <f>Data!R81</f>
        <v>1986.8</v>
      </c>
      <c r="D10" s="154">
        <f>Data!T81</f>
        <v>2359.6999999999998</v>
      </c>
      <c r="E10" s="155">
        <f>Data!S81</f>
        <v>118.77</v>
      </c>
      <c r="F10" s="148" t="str">
        <f ca="1">VLOOKUP(B10,Data!$U$4:$W$116,3,FALSE)</f>
        <v/>
      </c>
      <c r="H10" s="160"/>
      <c r="I10" s="163"/>
      <c r="M10" s="160"/>
    </row>
    <row r="11" spans="1:13" x14ac:dyDescent="0.25">
      <c r="A11" s="153" t="str">
        <f>Data!P82</f>
        <v>TH-57B</v>
      </c>
      <c r="B11" s="153" t="str">
        <f>Data!U82</f>
        <v>149 (162805)</v>
      </c>
      <c r="C11" s="154">
        <f>Data!R82</f>
        <v>1977.7</v>
      </c>
      <c r="D11" s="154">
        <f>Data!T82</f>
        <v>2350.0100000000002</v>
      </c>
      <c r="E11" s="155">
        <f>Data!S82</f>
        <v>118.83</v>
      </c>
      <c r="F11" s="148" t="str">
        <f ca="1">VLOOKUP(B11,Data!$U$4:$W$116,3,FALSE)</f>
        <v/>
      </c>
      <c r="H11" s="160"/>
      <c r="I11" s="163"/>
      <c r="M11" s="160"/>
    </row>
    <row r="12" spans="1:13" x14ac:dyDescent="0.25">
      <c r="A12" s="153" t="str">
        <f>Data!P83</f>
        <v>TH-57B</v>
      </c>
      <c r="B12" s="153" t="str">
        <f>Data!U83</f>
        <v>150 (162806)</v>
      </c>
      <c r="C12" s="154">
        <f>Data!R83</f>
        <v>1986.1</v>
      </c>
      <c r="D12" s="154">
        <f>Data!T83</f>
        <v>2359.11</v>
      </c>
      <c r="E12" s="155">
        <f>Data!S83</f>
        <v>118.78</v>
      </c>
      <c r="F12" s="148" t="str">
        <f ca="1">VLOOKUP(B12,Data!$U$4:$W$116,3,FALSE)</f>
        <v/>
      </c>
      <c r="H12" s="160"/>
      <c r="I12" s="163"/>
      <c r="M12" s="160"/>
    </row>
    <row r="13" spans="1:13" x14ac:dyDescent="0.25">
      <c r="A13" s="153" t="str">
        <f>Data!P84</f>
        <v>TH-57B</v>
      </c>
      <c r="B13" s="153" t="str">
        <f>Data!U84</f>
        <v>153 (162809)</v>
      </c>
      <c r="C13" s="154">
        <f>Data!R84</f>
        <v>2010.5</v>
      </c>
      <c r="D13" s="154">
        <f>Data!T84</f>
        <v>2380.56</v>
      </c>
      <c r="E13" s="155">
        <f>Data!S84</f>
        <v>118.41</v>
      </c>
      <c r="F13" s="148" t="str">
        <f ca="1">VLOOKUP(B13,Data!$U$4:$W$116,3,FALSE)</f>
        <v/>
      </c>
      <c r="H13" s="160"/>
      <c r="I13" s="163"/>
      <c r="M13" s="160"/>
    </row>
    <row r="14" spans="1:13" x14ac:dyDescent="0.25">
      <c r="A14" s="153" t="str">
        <f>Data!P85</f>
        <v>TH-57B</v>
      </c>
      <c r="B14" s="153" t="str">
        <f>Data!U85</f>
        <v>154 (162810)</v>
      </c>
      <c r="C14" s="154">
        <f>Data!R85</f>
        <v>2030</v>
      </c>
      <c r="D14" s="154">
        <f>Data!T85</f>
        <v>2386.59</v>
      </c>
      <c r="E14" s="155">
        <f>Data!S85</f>
        <v>117.57</v>
      </c>
      <c r="F14" s="148" t="str">
        <f ca="1">VLOOKUP(B14,Data!$U$4:$W$116,3,FALSE)</f>
        <v/>
      </c>
      <c r="H14" s="160"/>
      <c r="I14" s="163"/>
      <c r="M14" s="160"/>
    </row>
    <row r="15" spans="1:13" x14ac:dyDescent="0.25">
      <c r="A15" s="153" t="str">
        <f>Data!P86</f>
        <v>TH-57B</v>
      </c>
      <c r="B15" s="153" t="str">
        <f>Data!U86</f>
        <v>155 (163312)</v>
      </c>
      <c r="C15" s="154">
        <f>Data!R86</f>
        <v>1983.1</v>
      </c>
      <c r="D15" s="154">
        <f>Data!T86</f>
        <v>2361.8200000000002</v>
      </c>
      <c r="E15" s="155">
        <f>Data!S86</f>
        <v>119.1</v>
      </c>
      <c r="F15" s="148" t="str">
        <f ca="1">VLOOKUP(B15,Data!$U$4:$W$116,3,FALSE)</f>
        <v/>
      </c>
      <c r="H15" s="160"/>
      <c r="I15" s="163"/>
      <c r="M15" s="160"/>
    </row>
    <row r="16" spans="1:13" x14ac:dyDescent="0.25">
      <c r="A16" s="153" t="str">
        <f>Data!P87</f>
        <v>TH-57B</v>
      </c>
      <c r="B16" s="153" t="str">
        <f>Data!U87</f>
        <v>157 (163314)</v>
      </c>
      <c r="C16" s="154">
        <f>Data!R87</f>
        <v>2022.5</v>
      </c>
      <c r="D16" s="154">
        <f>Data!T87</f>
        <v>2402.79</v>
      </c>
      <c r="E16" s="155">
        <f>Data!S87</f>
        <v>118.8</v>
      </c>
      <c r="F16" s="148" t="str">
        <f ca="1">VLOOKUP(B16,Data!$U$4:$W$116,3,FALSE)</f>
        <v/>
      </c>
      <c r="H16" s="160"/>
      <c r="I16" s="163"/>
      <c r="M16" s="160"/>
    </row>
    <row r="17" spans="1:13" x14ac:dyDescent="0.25">
      <c r="A17" s="153" t="str">
        <f>Data!P88</f>
        <v>TH-57B</v>
      </c>
      <c r="B17" s="153" t="str">
        <f>Data!U88</f>
        <v>158 (163315)</v>
      </c>
      <c r="C17" s="154">
        <f>Data!R88</f>
        <v>2008</v>
      </c>
      <c r="D17" s="154">
        <f>Data!T88</f>
        <v>2375.46</v>
      </c>
      <c r="E17" s="155">
        <f>Data!S88</f>
        <v>118.3</v>
      </c>
      <c r="F17" s="148" t="str">
        <f ca="1">VLOOKUP(B17,Data!$U$4:$W$116,3,FALSE)</f>
        <v/>
      </c>
      <c r="H17" s="160"/>
      <c r="I17" s="163"/>
      <c r="M17" s="160"/>
    </row>
    <row r="18" spans="1:13" x14ac:dyDescent="0.25">
      <c r="A18" s="153" t="str">
        <f>Data!P89</f>
        <v>TH-57B</v>
      </c>
      <c r="B18" s="153" t="str">
        <f>Data!U89</f>
        <v>159 (163316)</v>
      </c>
      <c r="C18" s="154">
        <f>Data!R89</f>
        <v>2023.7</v>
      </c>
      <c r="D18" s="154">
        <f>Data!T89</f>
        <v>2396.73</v>
      </c>
      <c r="E18" s="155">
        <f>Data!S89</f>
        <v>118.43</v>
      </c>
      <c r="F18" s="148" t="str">
        <f ca="1">VLOOKUP(B18,Data!$U$4:$W$116,3,FALSE)</f>
        <v/>
      </c>
      <c r="H18" s="160"/>
      <c r="I18" s="163"/>
      <c r="M18" s="160"/>
    </row>
    <row r="19" spans="1:13" x14ac:dyDescent="0.25">
      <c r="A19" s="153" t="str">
        <f>Data!P90</f>
        <v>TH-57B</v>
      </c>
      <c r="B19" s="153" t="str">
        <f>Data!U90</f>
        <v>160 (163317)</v>
      </c>
      <c r="C19" s="154">
        <f>Data!R90</f>
        <v>2014.5</v>
      </c>
      <c r="D19" s="154">
        <f>Data!T90</f>
        <v>2389.02</v>
      </c>
      <c r="E19" s="155">
        <f>Data!S90</f>
        <v>118.59</v>
      </c>
      <c r="F19" s="148" t="str">
        <f ca="1">VLOOKUP(B19,Data!$U$4:$W$116,3,FALSE)</f>
        <v/>
      </c>
      <c r="H19" s="160"/>
      <c r="I19" s="163"/>
      <c r="M19" s="160"/>
    </row>
    <row r="20" spans="1:13" x14ac:dyDescent="0.25">
      <c r="A20" s="153" t="str">
        <f>Data!P91</f>
        <v>TH-57B</v>
      </c>
      <c r="B20" s="153" t="str">
        <f>Data!U91</f>
        <v>161 (163318)</v>
      </c>
      <c r="C20" s="154">
        <f>Data!R91</f>
        <v>1990.2</v>
      </c>
      <c r="D20" s="154">
        <f>Data!T91</f>
        <v>2364.39</v>
      </c>
      <c r="E20" s="155">
        <f>Data!S91</f>
        <v>118.8</v>
      </c>
      <c r="F20" s="148" t="str">
        <f ca="1">VLOOKUP(B20,Data!$U$4:$W$116,3,FALSE)</f>
        <v/>
      </c>
      <c r="H20" s="160"/>
      <c r="I20" s="163"/>
      <c r="M20" s="160"/>
    </row>
    <row r="21" spans="1:13" x14ac:dyDescent="0.25">
      <c r="A21" s="153" t="str">
        <f>Data!P92</f>
        <v>TH-57B</v>
      </c>
      <c r="B21" s="153" t="str">
        <f>Data!U92</f>
        <v>162 (163319)</v>
      </c>
      <c r="C21" s="154">
        <f>Data!R92</f>
        <v>2020.5</v>
      </c>
      <c r="D21" s="154">
        <f>Data!T92</f>
        <v>2386.09</v>
      </c>
      <c r="E21" s="155">
        <f>Data!S92</f>
        <v>118.09</v>
      </c>
      <c r="F21" s="148" t="str">
        <f ca="1">VLOOKUP(B21,Data!$U$4:$W$116,3,FALSE)</f>
        <v/>
      </c>
      <c r="H21" s="160"/>
      <c r="I21" s="163"/>
      <c r="M21" s="160"/>
    </row>
    <row r="22" spans="1:13" x14ac:dyDescent="0.25">
      <c r="A22" s="153" t="str">
        <f>Data!P93</f>
        <v>TH-57B</v>
      </c>
      <c r="B22" s="153" t="str">
        <f>Data!U93</f>
        <v>164 (163321)</v>
      </c>
      <c r="C22" s="154">
        <f>Data!R93</f>
        <v>2018.2</v>
      </c>
      <c r="D22" s="154">
        <f>Data!T93</f>
        <v>2385.5100000000002</v>
      </c>
      <c r="E22" s="155">
        <f>Data!S93</f>
        <v>118.2</v>
      </c>
      <c r="F22" s="148" t="str">
        <f ca="1">VLOOKUP(B22,Data!$U$4:$W$116,3,FALSE)</f>
        <v/>
      </c>
      <c r="H22" s="160"/>
      <c r="I22" s="163"/>
      <c r="M22" s="160"/>
    </row>
    <row r="23" spans="1:13" x14ac:dyDescent="0.25">
      <c r="A23" s="153" t="str">
        <f>Data!P94</f>
        <v>TH-57B</v>
      </c>
      <c r="B23" s="153" t="str">
        <f>Data!U94</f>
        <v>165 (163322)</v>
      </c>
      <c r="C23" s="154">
        <f>Data!R94</f>
        <v>1994.3</v>
      </c>
      <c r="D23" s="154">
        <f>Data!T94</f>
        <v>2376.69</v>
      </c>
      <c r="E23" s="155">
        <f>Data!S94</f>
        <v>119.17</v>
      </c>
      <c r="F23" s="148" t="str">
        <f ca="1">VLOOKUP(B23,Data!$U$4:$W$116,3,FALSE)</f>
        <v>+++</v>
      </c>
      <c r="H23" s="160"/>
      <c r="I23" s="163"/>
      <c r="M23" s="160"/>
    </row>
    <row r="24" spans="1:13" x14ac:dyDescent="0.25">
      <c r="A24" s="153" t="str">
        <f>Data!P95</f>
        <v>TH-57B</v>
      </c>
      <c r="B24" s="153" t="str">
        <f>Data!U95</f>
        <v>166 (163323)</v>
      </c>
      <c r="C24" s="154">
        <f>Data!R95</f>
        <v>1996.7</v>
      </c>
      <c r="D24" s="154">
        <f>Data!T95</f>
        <v>2361.7399999999998</v>
      </c>
      <c r="E24" s="155">
        <f>Data!S95</f>
        <v>118.28</v>
      </c>
      <c r="F24" s="148" t="str">
        <f ca="1">VLOOKUP(B24,Data!$U$4:$W$116,3,FALSE)</f>
        <v/>
      </c>
      <c r="H24" s="160"/>
      <c r="I24" s="163"/>
      <c r="M24" s="160"/>
    </row>
    <row r="25" spans="1:13" x14ac:dyDescent="0.25">
      <c r="A25" s="153" t="str">
        <f>Data!P96</f>
        <v>TH-57B</v>
      </c>
      <c r="B25" s="153" t="str">
        <f>Data!U96</f>
        <v>167 (163324)</v>
      </c>
      <c r="C25" s="154">
        <f>Data!R96</f>
        <v>1986.6</v>
      </c>
      <c r="D25" s="154">
        <f>Data!T96</f>
        <v>2348.35</v>
      </c>
      <c r="E25" s="155">
        <f>Data!S96</f>
        <v>118.21</v>
      </c>
      <c r="H25" s="160"/>
      <c r="I25" s="163"/>
      <c r="M25" s="160"/>
    </row>
    <row r="26" spans="1:13" x14ac:dyDescent="0.25">
      <c r="A26" s="153" t="str">
        <f>Data!P97</f>
        <v>TH-57B</v>
      </c>
      <c r="B26" s="153" t="str">
        <f>Data!U97</f>
        <v>168 (163325)</v>
      </c>
      <c r="C26" s="154">
        <f>Data!R97</f>
        <v>2033</v>
      </c>
      <c r="D26" s="154">
        <f>Data!T97</f>
        <v>2396.09</v>
      </c>
      <c r="E26" s="155">
        <f>Data!S97</f>
        <v>117.86</v>
      </c>
      <c r="F26" s="148" t="str">
        <f ca="1">VLOOKUP(B26,Data!$U$4:$W$116,3,FALSE)</f>
        <v>+</v>
      </c>
      <c r="H26" s="160"/>
      <c r="I26" s="163"/>
      <c r="M26" s="160"/>
    </row>
    <row r="27" spans="1:13" x14ac:dyDescent="0.25">
      <c r="A27" s="153" t="str">
        <f>Data!P98</f>
        <v>TH-57B</v>
      </c>
      <c r="B27" s="153" t="str">
        <f>Data!U98</f>
        <v>171 (163328)</v>
      </c>
      <c r="C27" s="154">
        <f>Data!R98</f>
        <v>1985</v>
      </c>
      <c r="D27" s="154">
        <f>Data!T98</f>
        <v>2337.91</v>
      </c>
      <c r="E27" s="155">
        <f>Data!S98</f>
        <v>117.78</v>
      </c>
      <c r="F27" s="148" t="str">
        <f ca="1">VLOOKUP(B27,Data!$U$4:$W$116,3,FALSE)</f>
        <v/>
      </c>
      <c r="H27" s="160"/>
      <c r="I27" s="163"/>
      <c r="M27" s="160"/>
    </row>
    <row r="28" spans="1:13" x14ac:dyDescent="0.25">
      <c r="A28" s="153" t="str">
        <f>Data!P99</f>
        <v>TH-57B</v>
      </c>
      <c r="B28" s="153" t="str">
        <f>Data!U99</f>
        <v>173 (163330)</v>
      </c>
      <c r="C28" s="154">
        <f>Data!R99</f>
        <v>1994.2</v>
      </c>
      <c r="D28" s="154">
        <f>Data!T99</f>
        <v>2348.5100000000002</v>
      </c>
      <c r="E28" s="155">
        <f>Data!S99</f>
        <v>117.77</v>
      </c>
      <c r="F28" s="148" t="str">
        <f ca="1">VLOOKUP(B28,Data!$U$4:$W$116,3,FALSE)</f>
        <v/>
      </c>
      <c r="H28" s="160"/>
      <c r="I28" s="163"/>
      <c r="M28" s="160"/>
    </row>
    <row r="29" spans="1:13" x14ac:dyDescent="0.25">
      <c r="A29" s="153" t="str">
        <f>Data!P100</f>
        <v>TH-57B</v>
      </c>
      <c r="B29" s="153" t="str">
        <f>Data!U100</f>
        <v>174 (163331)</v>
      </c>
      <c r="C29" s="154">
        <f>Data!R100</f>
        <v>2002.2</v>
      </c>
      <c r="D29" s="154">
        <f>Data!T100</f>
        <v>2363.5300000000002</v>
      </c>
      <c r="E29" s="155">
        <f>Data!S100</f>
        <v>118.05</v>
      </c>
      <c r="F29" s="148" t="str">
        <f ca="1">VLOOKUP(B29,Data!$U$4:$W$116,3,FALSE)</f>
        <v/>
      </c>
      <c r="H29" s="160"/>
      <c r="I29" s="163"/>
      <c r="M29" s="160"/>
    </row>
    <row r="30" spans="1:13" x14ac:dyDescent="0.25">
      <c r="A30" s="153" t="str">
        <f>Data!P101</f>
        <v>TH-57B</v>
      </c>
      <c r="B30" s="153" t="str">
        <f>Data!U101</f>
        <v>176 (163333)</v>
      </c>
      <c r="C30" s="154">
        <f>Data!R101</f>
        <v>1971.3</v>
      </c>
      <c r="D30" s="154">
        <f>Data!T101</f>
        <v>2335.13</v>
      </c>
      <c r="E30" s="155">
        <f>Data!S101</f>
        <v>118.45</v>
      </c>
      <c r="F30" s="148" t="str">
        <f ca="1">VLOOKUP(B30,Data!$U$4:$W$116,3,FALSE)</f>
        <v/>
      </c>
      <c r="H30" s="160"/>
      <c r="I30" s="163"/>
      <c r="M30" s="160"/>
    </row>
    <row r="31" spans="1:13" x14ac:dyDescent="0.25">
      <c r="A31" s="153" t="str">
        <f>Data!P102</f>
        <v>TH-57B</v>
      </c>
      <c r="B31" s="153" t="str">
        <f>Data!U102</f>
        <v>181 (163338)</v>
      </c>
      <c r="C31" s="154">
        <f>Data!R102</f>
        <v>1993.6</v>
      </c>
      <c r="D31" s="154">
        <f>Data!T102</f>
        <v>2365.31</v>
      </c>
      <c r="E31" s="155">
        <f>Data!S102</f>
        <v>118.64</v>
      </c>
      <c r="F31" s="148" t="str">
        <f ca="1">VLOOKUP(B31,Data!$U$4:$W$116,3,FALSE)</f>
        <v/>
      </c>
      <c r="H31" s="160"/>
      <c r="I31" s="163"/>
      <c r="M31" s="160"/>
    </row>
    <row r="32" spans="1:13" x14ac:dyDescent="0.25">
      <c r="A32" s="153" t="str">
        <f>Data!P103</f>
        <v>TH-57B</v>
      </c>
      <c r="B32" s="153" t="str">
        <f>Data!U103</f>
        <v>182 (163339)</v>
      </c>
      <c r="C32" s="154">
        <f>Data!R103</f>
        <v>2009.6</v>
      </c>
      <c r="D32" s="154">
        <f>Data!T103</f>
        <v>2373.36</v>
      </c>
      <c r="E32" s="155">
        <f>Data!S103</f>
        <v>118.1</v>
      </c>
      <c r="F32" s="148" t="str">
        <f ca="1">VLOOKUP(B32,Data!$U$4:$W$116,3,FALSE)</f>
        <v/>
      </c>
      <c r="H32" s="160"/>
      <c r="I32" s="163"/>
      <c r="M32" s="160"/>
    </row>
    <row r="33" spans="1:13" x14ac:dyDescent="0.25">
      <c r="A33" s="153" t="str">
        <f>Data!P104</f>
        <v>TH-57B</v>
      </c>
      <c r="B33" s="153" t="str">
        <f>Data!U104</f>
        <v>183 (163340)</v>
      </c>
      <c r="C33" s="154">
        <f>Data!R104</f>
        <v>1998.5</v>
      </c>
      <c r="D33" s="154">
        <f>Data!T104</f>
        <v>2352.2800000000002</v>
      </c>
      <c r="E33" s="155">
        <f>Data!S104</f>
        <v>117.7</v>
      </c>
      <c r="F33" s="148" t="str">
        <f ca="1">VLOOKUP(B33,Data!$U$4:$W$116,3,FALSE)</f>
        <v/>
      </c>
      <c r="H33" s="160"/>
      <c r="I33" s="163"/>
      <c r="M33" s="160"/>
    </row>
    <row r="34" spans="1:13" x14ac:dyDescent="0.25">
      <c r="A34" s="153" t="str">
        <f>Data!P105</f>
        <v>TH-57B</v>
      </c>
      <c r="B34" s="153" t="str">
        <f>Data!U105</f>
        <v>184 (163341)</v>
      </c>
      <c r="C34" s="154">
        <f>Data!R105</f>
        <v>1978.5</v>
      </c>
      <c r="D34" s="154">
        <f>Data!T105</f>
        <v>2336.6999999999998</v>
      </c>
      <c r="E34" s="155">
        <f>Data!S105</f>
        <v>118.1</v>
      </c>
      <c r="F34" s="148" t="str">
        <f ca="1">VLOOKUP(B34,Data!$U$4:$W$116,3,FALSE)</f>
        <v/>
      </c>
      <c r="H34" s="160"/>
      <c r="I34" s="163"/>
      <c r="M34" s="160"/>
    </row>
    <row r="35" spans="1:13" x14ac:dyDescent="0.25">
      <c r="A35" s="153" t="str">
        <f>Data!P106</f>
        <v>TH-57B</v>
      </c>
      <c r="B35" s="153" t="str">
        <f>Data!U106</f>
        <v>186 (163343)</v>
      </c>
      <c r="C35" s="154">
        <f>Data!R106</f>
        <v>1987.5</v>
      </c>
      <c r="D35" s="154">
        <f>Data!T106</f>
        <v>2361.0300000000002</v>
      </c>
      <c r="E35" s="155">
        <f>Data!S106</f>
        <v>118.79</v>
      </c>
      <c r="F35" s="148" t="str">
        <f ca="1">VLOOKUP(B35,Data!$U$4:$W$116,3,FALSE)</f>
        <v/>
      </c>
      <c r="H35" s="160"/>
      <c r="I35" s="163"/>
      <c r="M35" s="160"/>
    </row>
    <row r="36" spans="1:13" x14ac:dyDescent="0.25">
      <c r="A36" s="153" t="str">
        <f>Data!P107</f>
        <v>TH-57B</v>
      </c>
      <c r="B36" s="153" t="str">
        <f>Data!U107</f>
        <v>187 (163344)</v>
      </c>
      <c r="C36" s="154">
        <f>Data!R107</f>
        <v>1999.5</v>
      </c>
      <c r="D36" s="154">
        <f>Data!T107</f>
        <v>2349.09</v>
      </c>
      <c r="E36" s="155">
        <f>Data!S107</f>
        <v>117.48</v>
      </c>
      <c r="F36" s="148" t="str">
        <f ca="1">VLOOKUP(B36,Data!$U$4:$W$116,3,FALSE)</f>
        <v/>
      </c>
      <c r="H36" s="160"/>
      <c r="I36" s="163"/>
      <c r="M36" s="160"/>
    </row>
    <row r="37" spans="1:13" x14ac:dyDescent="0.25">
      <c r="A37" s="153" t="str">
        <f>Data!P108</f>
        <v>TH-57B</v>
      </c>
      <c r="B37" s="153" t="str">
        <f>Data!U108</f>
        <v>188 (163345)</v>
      </c>
      <c r="C37" s="154">
        <f>Data!R108</f>
        <v>1983.8</v>
      </c>
      <c r="D37" s="154">
        <f>Data!T108</f>
        <v>2359.2800000000002</v>
      </c>
      <c r="E37" s="155">
        <f>Data!S108</f>
        <v>118.93</v>
      </c>
      <c r="F37" s="148" t="str">
        <f ca="1">VLOOKUP(B37,Data!$U$4:$W$116,3,FALSE)</f>
        <v/>
      </c>
      <c r="H37" s="160"/>
      <c r="I37" s="163"/>
      <c r="M37" s="160"/>
    </row>
    <row r="38" spans="1:13" x14ac:dyDescent="0.25">
      <c r="A38" s="153" t="str">
        <f>Data!P109</f>
        <v>TH-57B</v>
      </c>
      <c r="B38" s="153" t="str">
        <f>Data!U109</f>
        <v>189 (163346)</v>
      </c>
      <c r="C38" s="154">
        <f>Data!R109</f>
        <v>1988.5</v>
      </c>
      <c r="D38" s="154">
        <f>Data!T109</f>
        <v>2340.9699999999998</v>
      </c>
      <c r="E38" s="155">
        <f>Data!S109</f>
        <v>117.73</v>
      </c>
      <c r="F38" s="148" t="str">
        <f ca="1">VLOOKUP(B38,Data!$U$4:$W$116,3,FALSE)</f>
        <v/>
      </c>
      <c r="H38" s="160"/>
      <c r="I38" s="163"/>
      <c r="M38" s="160"/>
    </row>
    <row r="39" spans="1:13" x14ac:dyDescent="0.25">
      <c r="A39" s="184" t="str">
        <f>Data!P110</f>
        <v>TH-57B</v>
      </c>
      <c r="B39" s="184" t="str">
        <f>Data!U110</f>
        <v>190 (163347)</v>
      </c>
      <c r="C39" s="185">
        <f>Data!R110</f>
        <v>1981.1</v>
      </c>
      <c r="D39" s="185">
        <f>Data!T110</f>
        <v>2344.4499999999998</v>
      </c>
      <c r="E39" s="186">
        <f>Data!S110</f>
        <v>118.34</v>
      </c>
      <c r="H39" s="160"/>
      <c r="I39" s="163"/>
      <c r="M39" s="160"/>
    </row>
    <row r="40" spans="1:13" s="196" customFormat="1" x14ac:dyDescent="0.25">
      <c r="A40" s="193">
        <f>Data!P111</f>
        <v>0</v>
      </c>
      <c r="B40" s="193">
        <f>Data!U111</f>
        <v>0</v>
      </c>
      <c r="C40" s="194">
        <f>Data!R111</f>
        <v>0</v>
      </c>
      <c r="D40" s="194">
        <f>Data!T111</f>
        <v>0</v>
      </c>
      <c r="E40" s="195">
        <f>Data!S111</f>
        <v>0</v>
      </c>
      <c r="F40" s="196" t="e">
        <f>VLOOKUP(B40,Data!$U$4:$W$116,3,FALSE)</f>
        <v>#N/A</v>
      </c>
      <c r="H40" s="193"/>
      <c r="I40" s="197"/>
      <c r="M40" s="193"/>
    </row>
    <row r="41" spans="1:13" s="201" customFormat="1" x14ac:dyDescent="0.25">
      <c r="A41" s="198">
        <f>Data!P112</f>
        <v>0</v>
      </c>
      <c r="B41" s="198">
        <f>Data!U112</f>
        <v>0</v>
      </c>
      <c r="C41" s="199">
        <f>Data!R112</f>
        <v>0</v>
      </c>
      <c r="D41" s="199">
        <f>Data!T112</f>
        <v>0</v>
      </c>
      <c r="E41" s="200">
        <f>Data!S112</f>
        <v>0</v>
      </c>
      <c r="F41" s="201" t="e">
        <f>VLOOKUP(B41,Data!$U$4:$W$116,3,FALSE)</f>
        <v>#N/A</v>
      </c>
      <c r="H41" s="198"/>
      <c r="I41" s="202"/>
      <c r="M41" s="198"/>
    </row>
    <row r="42" spans="1:13" s="201" customFormat="1" x14ac:dyDescent="0.25">
      <c r="A42" s="198">
        <f>Data!P113</f>
        <v>0</v>
      </c>
      <c r="B42" s="198">
        <f>Data!U113</f>
        <v>0</v>
      </c>
      <c r="C42" s="199">
        <f>Data!R113</f>
        <v>0</v>
      </c>
      <c r="D42" s="199">
        <f>Data!T113</f>
        <v>0</v>
      </c>
      <c r="E42" s="200">
        <f>Data!S113</f>
        <v>0</v>
      </c>
      <c r="F42" s="201" t="e">
        <f>VLOOKUP(B42,Data!$U$4:$W$116,3,FALSE)</f>
        <v>#N/A</v>
      </c>
      <c r="H42" s="198"/>
      <c r="I42" s="202"/>
      <c r="M42" s="198"/>
    </row>
    <row r="43" spans="1:13" s="201" customFormat="1" x14ac:dyDescent="0.25">
      <c r="A43" s="198">
        <f>Data!P114</f>
        <v>0</v>
      </c>
      <c r="B43" s="198">
        <f>Data!U114</f>
        <v>0</v>
      </c>
      <c r="C43" s="199">
        <f>Data!R114</f>
        <v>0</v>
      </c>
      <c r="D43" s="199">
        <f>Data!T114</f>
        <v>0</v>
      </c>
      <c r="E43" s="200">
        <f>Data!S114</f>
        <v>0</v>
      </c>
      <c r="F43" s="201" t="e">
        <f>VLOOKUP(B43,Data!$U$4:$W$116,3,FALSE)</f>
        <v>#N/A</v>
      </c>
      <c r="H43" s="198"/>
      <c r="I43" s="202"/>
      <c r="M43" s="198"/>
    </row>
    <row r="44" spans="1:13" s="201" customFormat="1" x14ac:dyDescent="0.25">
      <c r="A44" s="198"/>
      <c r="B44" s="198"/>
      <c r="C44" s="199"/>
      <c r="D44" s="199"/>
      <c r="E44" s="200"/>
      <c r="H44" s="198"/>
      <c r="I44" s="202"/>
      <c r="M44" s="198"/>
    </row>
    <row r="45" spans="1:13" s="201" customFormat="1" x14ac:dyDescent="0.25">
      <c r="A45" s="198"/>
      <c r="B45" s="198"/>
      <c r="C45" s="199"/>
      <c r="D45" s="199"/>
      <c r="E45" s="200"/>
      <c r="H45" s="198"/>
      <c r="I45" s="202"/>
      <c r="M45" s="198"/>
    </row>
    <row r="46" spans="1:13" s="201" customFormat="1" x14ac:dyDescent="0.25"/>
  </sheetData>
  <sheetProtection algorithmName="SHA-512" hashValue="tT3AyLpk2Ejri3iquWISfA1zm2NDUF3hMVDVUhwk4fGJ1H13UfY/F4IeCc11Of0Cqnfmme3HfG7W77kR5sNu7Q==" saltValue="6oxkbvRNptGMxDqeFzN+pA==" spinCount="100000" sheet="1" objects="1" scenarios="1"/>
  <mergeCells count="6">
    <mergeCell ref="G2:H2"/>
    <mergeCell ref="A1:A2"/>
    <mergeCell ref="B1:B2"/>
    <mergeCell ref="C1:C2"/>
    <mergeCell ref="D1:D2"/>
    <mergeCell ref="E1:E2"/>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H1" sqref="H1"/>
    </sheetView>
  </sheetViews>
  <sheetFormatPr defaultRowHeight="15" x14ac:dyDescent="0.25"/>
  <cols>
    <col min="1" max="1" width="9.140625" style="148"/>
    <col min="2" max="2" width="11.28515625" style="148" customWidth="1"/>
    <col min="3" max="16384" width="9.140625" style="148"/>
  </cols>
  <sheetData>
    <row r="1" spans="1:8" x14ac:dyDescent="0.25">
      <c r="A1" s="331" t="s">
        <v>367</v>
      </c>
      <c r="B1" s="331" t="s">
        <v>368</v>
      </c>
      <c r="C1" s="331" t="s">
        <v>156</v>
      </c>
      <c r="D1" s="331" t="s">
        <v>158</v>
      </c>
      <c r="E1" s="331" t="s">
        <v>157</v>
      </c>
      <c r="F1" s="146" t="s">
        <v>369</v>
      </c>
      <c r="G1" s="147"/>
      <c r="H1" s="149">
        <v>44703</v>
      </c>
    </row>
    <row r="2" spans="1:8" ht="15.75" thickBot="1" x14ac:dyDescent="0.3">
      <c r="A2" s="331"/>
      <c r="B2" s="331"/>
      <c r="C2" s="331"/>
      <c r="D2" s="331"/>
      <c r="E2" s="331"/>
      <c r="F2" s="341" t="s">
        <v>370</v>
      </c>
      <c r="G2" s="342"/>
    </row>
    <row r="3" spans="1:8" ht="15.75" thickBot="1" x14ac:dyDescent="0.3">
      <c r="A3" s="153" t="s">
        <v>373</v>
      </c>
      <c r="B3" s="153" t="s">
        <v>374</v>
      </c>
      <c r="C3" s="164">
        <v>4366.12</v>
      </c>
      <c r="D3" s="164">
        <v>6302.88</v>
      </c>
      <c r="E3" s="165">
        <v>144.36000000000001</v>
      </c>
    </row>
    <row r="4" spans="1:8" ht="15.75" thickBot="1" x14ac:dyDescent="0.3">
      <c r="A4" s="153" t="s">
        <v>373</v>
      </c>
      <c r="B4" s="153" t="s">
        <v>375</v>
      </c>
      <c r="C4" s="166">
        <v>4387.0600000000004</v>
      </c>
      <c r="D4" s="166">
        <v>6335.11</v>
      </c>
      <c r="E4" s="167">
        <v>144.4</v>
      </c>
      <c r="F4" s="148" t="s">
        <v>365</v>
      </c>
    </row>
    <row r="5" spans="1:8" ht="15.75" thickBot="1" x14ac:dyDescent="0.3">
      <c r="A5" s="153" t="s">
        <v>373</v>
      </c>
      <c r="B5" s="153" t="s">
        <v>376</v>
      </c>
      <c r="C5" s="166">
        <v>4383.75</v>
      </c>
      <c r="D5" s="166">
        <v>6332.78</v>
      </c>
      <c r="E5" s="167">
        <v>144.46</v>
      </c>
    </row>
    <row r="6" spans="1:8" ht="15.75" thickBot="1" x14ac:dyDescent="0.3">
      <c r="A6" s="153" t="s">
        <v>373</v>
      </c>
      <c r="B6" s="153" t="s">
        <v>377</v>
      </c>
      <c r="C6" s="166">
        <v>4362.8100000000004</v>
      </c>
      <c r="D6" s="166">
        <v>6271.4</v>
      </c>
      <c r="E6" s="167">
        <v>143.75</v>
      </c>
      <c r="F6" s="148" t="s">
        <v>371</v>
      </c>
    </row>
  </sheetData>
  <sheetProtection algorithmName="SHA-512" hashValue="cKPLXhgZGOqmUlVVg8Bv4x7SLjAdMg2sxnUCH35RGhdyjO6vBx+EdbsWrICaDFPicdni8EXeKGiOSW2jT5gQsA==" saltValue="PhZrsFgz7kenDANJI6zuZQ==" spinCount="100000" sheet="1" objects="1" scenarios="1"/>
  <mergeCells count="6">
    <mergeCell ref="F2:G2"/>
    <mergeCell ref="A1:A2"/>
    <mergeCell ref="B1:B2"/>
    <mergeCell ref="C1:C2"/>
    <mergeCell ref="D1:D2"/>
    <mergeCell ref="E1:E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M390"/>
  <sheetViews>
    <sheetView zoomScale="85" zoomScaleNormal="85" workbookViewId="0">
      <pane xSplit="1" ySplit="2" topLeftCell="B72" activePane="bottomRight" state="frozen"/>
      <selection activeCell="L109" sqref="L109"/>
      <selection pane="topRight" activeCell="L109" sqref="L109"/>
      <selection pane="bottomLeft" activeCell="L109" sqref="L109"/>
      <selection pane="bottomRight" activeCell="G59" sqref="G59"/>
    </sheetView>
  </sheetViews>
  <sheetFormatPr defaultRowHeight="12.75" x14ac:dyDescent="0.2"/>
  <cols>
    <col min="8" max="8" width="10.5703125" customWidth="1"/>
    <col min="16" max="16" width="6.5703125" customWidth="1"/>
    <col min="17" max="17" width="10.7109375" bestFit="1" customWidth="1"/>
    <col min="18" max="18" width="8.7109375" customWidth="1"/>
    <col min="19" max="19" width="11.28515625" bestFit="1" customWidth="1"/>
    <col min="20" max="20" width="15.28515625" bestFit="1" customWidth="1"/>
    <col min="21" max="21" width="19.85546875" customWidth="1"/>
    <col min="22" max="22" width="7.85546875" bestFit="1" customWidth="1"/>
    <col min="25" max="25" width="6.85546875" bestFit="1" customWidth="1"/>
    <col min="26" max="26" width="11" customWidth="1"/>
    <col min="27" max="27" width="11.85546875" bestFit="1" customWidth="1"/>
    <col min="28" max="28" width="11.7109375" bestFit="1" customWidth="1"/>
  </cols>
  <sheetData>
    <row r="1" spans="1:39" ht="15.75" thickBot="1" x14ac:dyDescent="0.25">
      <c r="F1" s="29" t="s">
        <v>58</v>
      </c>
    </row>
    <row r="2" spans="1:39" ht="60.75" thickBot="1" x14ac:dyDescent="0.25">
      <c r="C2" t="s">
        <v>64</v>
      </c>
      <c r="D2" s="82" t="s">
        <v>156</v>
      </c>
      <c r="E2" s="82" t="s">
        <v>158</v>
      </c>
      <c r="F2" s="82" t="s">
        <v>157</v>
      </c>
      <c r="H2" s="182" t="s">
        <v>380</v>
      </c>
      <c r="I2" s="182" t="s">
        <v>381</v>
      </c>
      <c r="J2" s="182" t="s">
        <v>382</v>
      </c>
      <c r="Q2" s="94">
        <v>45345</v>
      </c>
      <c r="U2" s="75" t="s">
        <v>159</v>
      </c>
      <c r="Y2" s="343" t="s">
        <v>169</v>
      </c>
      <c r="Z2" s="343"/>
      <c r="AA2" s="84" t="s">
        <v>170</v>
      </c>
    </row>
    <row r="3" spans="1:39" ht="15.75" thickBot="1" x14ac:dyDescent="0.25">
      <c r="A3" s="171" t="s">
        <v>56</v>
      </c>
      <c r="B3" s="172" t="str">
        <f t="shared" ref="B3:B34" ca="1" si="0">IF(D3=MAX($D$3:$D$74),$H$114,IF(F3=MAX($F$3:$F$74),$H$116,IF(F3=MIN($F$3:$F$74),$H$115,"")))</f>
        <v/>
      </c>
      <c r="C3" s="173" t="str">
        <f ca="1">IF(LEFT($A$3,6) = INDEX($P$4:$P$114,ROW(A3)+1-ROW($A$3),1),IF(LEFT(OFFSET(INDIRECT("P"&amp;MATCH(LEFT($A$3,6),$P$1:$P$114,0),TRUE),ROW()-ROW($A$3),5),1)="0",
MID(LEFT(OFFSET(INDIRECT("P"&amp;MATCH(LEFT($A$3,6),$P$1:$P$114,0),TRUE),ROW()-ROW($A$3),5),3),2,2),
LEFT(OFFSET(INDIRECT("P"&amp;MATCH(LEFT($A$3,6),$P$1:$P$114,0),TRUE),ROW()-ROW($A$3),5),3)),"")</f>
        <v>50</v>
      </c>
      <c r="D3" s="173">
        <f t="shared" ref="D3:F22" ca="1" si="1">IFERROR(INDEX($P$3:$V$116,MATCH($C3,$V$3:$V$116,0),MATCH(D$2,$P$3:$V$3,0)),"")</f>
        <v>2150.1</v>
      </c>
      <c r="E3" s="173">
        <f t="shared" ca="1" si="1"/>
        <v>2509.59</v>
      </c>
      <c r="F3" s="174">
        <f t="shared" ca="1" si="1"/>
        <v>116.72</v>
      </c>
      <c r="G3" t="str">
        <f ca="1">LEFT(OFFSET(INDIRECT("P"&amp;MATCH(LEFT($A$75,6),$P$1:$P$114,0),TRUE),0,5),1)</f>
        <v>1</v>
      </c>
      <c r="H3" s="29">
        <v>1</v>
      </c>
      <c r="I3">
        <f>H3*6.7</f>
        <v>6.7</v>
      </c>
      <c r="K3" s="31" t="s">
        <v>68</v>
      </c>
      <c r="M3" s="31" t="s">
        <v>89</v>
      </c>
      <c r="P3" s="81" t="s">
        <v>154</v>
      </c>
      <c r="Q3" s="81" t="s">
        <v>155</v>
      </c>
      <c r="R3" s="81" t="s">
        <v>156</v>
      </c>
      <c r="S3" s="81" t="s">
        <v>157</v>
      </c>
      <c r="T3" s="81" t="s">
        <v>158</v>
      </c>
      <c r="U3" s="90" t="s">
        <v>184</v>
      </c>
      <c r="V3" s="75" t="s">
        <v>159</v>
      </c>
      <c r="Y3" t="s">
        <v>171</v>
      </c>
      <c r="Z3" t="s">
        <v>172</v>
      </c>
      <c r="AA3" s="85"/>
      <c r="AB3" t="s">
        <v>174</v>
      </c>
      <c r="AD3" t="s">
        <v>298</v>
      </c>
      <c r="AG3" s="4" t="s">
        <v>292</v>
      </c>
      <c r="AM3" s="31" t="s">
        <v>338</v>
      </c>
    </row>
    <row r="4" spans="1:39" ht="15.75" thickBot="1" x14ac:dyDescent="0.25">
      <c r="A4" s="175" t="s">
        <v>57</v>
      </c>
      <c r="B4" s="31" t="str">
        <f t="shared" ca="1" si="0"/>
        <v/>
      </c>
      <c r="C4" s="173" t="str">
        <f t="shared" ref="C4:C67" ca="1" si="2">IF(LEFT($A$3,6) = INDEX($P$4:$P$114,ROW(A4)+1-ROW($A$3),1),IF(LEFT(OFFSET(INDIRECT("P"&amp;MATCH(LEFT($A$3,6),$P$1:$P$114,0),TRUE),ROW()-ROW($A$3),5),1)="0",
MID(LEFT(OFFSET(INDIRECT("P"&amp;MATCH(LEFT($A$3,6),$P$1:$P$114,0),TRUE),ROW()-ROW($A$3),5),3),2,2),
LEFT(OFFSET(INDIRECT("P"&amp;MATCH(LEFT($A$3,6),$P$1:$P$114,0),TRUE),ROW()-ROW($A$3),5),3)),"")</f>
        <v>51</v>
      </c>
      <c r="D4" s="29">
        <f t="shared" ca="1" si="1"/>
        <v>2152.6999999999998</v>
      </c>
      <c r="E4" s="29">
        <f t="shared" ca="1" si="1"/>
        <v>2501.44</v>
      </c>
      <c r="F4" s="176">
        <f t="shared" ca="1" si="1"/>
        <v>116.2</v>
      </c>
      <c r="H4" s="29">
        <v>2</v>
      </c>
      <c r="I4">
        <f t="shared" ref="I4:I67" si="3">H4*6.7</f>
        <v>13.4</v>
      </c>
      <c r="K4" s="31" t="s">
        <v>69</v>
      </c>
      <c r="M4" s="31" t="s">
        <v>90</v>
      </c>
      <c r="P4" s="205" t="s">
        <v>160</v>
      </c>
      <c r="Q4" s="91" t="s">
        <v>185</v>
      </c>
      <c r="R4" s="206">
        <v>2150.1</v>
      </c>
      <c r="S4" s="207">
        <v>116.72</v>
      </c>
      <c r="T4" s="206">
        <v>2509.59</v>
      </c>
      <c r="U4" s="91" t="s">
        <v>185</v>
      </c>
      <c r="V4" s="80" t="str">
        <f>IF(LEFT(U4,1)="0",MID(U4,2,2),LEFT(U4,3))</f>
        <v>50</v>
      </c>
      <c r="W4" t="str">
        <f ca="1">INDEX($B$3:$C$115,MATCH(V4,$C$3:$C$116,0),1)</f>
        <v/>
      </c>
      <c r="X4" t="s">
        <v>69</v>
      </c>
      <c r="Y4">
        <v>15</v>
      </c>
      <c r="Z4">
        <v>20</v>
      </c>
      <c r="AA4" t="s">
        <v>178</v>
      </c>
      <c r="AB4" t="s">
        <v>180</v>
      </c>
      <c r="AD4" s="4" t="s">
        <v>299</v>
      </c>
      <c r="AE4" s="4" t="s">
        <v>300</v>
      </c>
      <c r="AF4" s="4"/>
      <c r="AG4" s="4" t="s">
        <v>295</v>
      </c>
      <c r="AH4" s="4" t="s">
        <v>293</v>
      </c>
      <c r="AI4" s="4" t="s">
        <v>296</v>
      </c>
      <c r="AJ4" s="4" t="s">
        <v>294</v>
      </c>
      <c r="AM4" s="4" t="s">
        <v>339</v>
      </c>
    </row>
    <row r="5" spans="1:39" ht="15.75" thickBot="1" x14ac:dyDescent="0.25">
      <c r="A5" s="48"/>
      <c r="B5" s="31" t="str">
        <f t="shared" ca="1" si="0"/>
        <v/>
      </c>
      <c r="C5" s="29" t="str">
        <f t="shared" ca="1" si="2"/>
        <v>56</v>
      </c>
      <c r="D5" s="29">
        <f t="shared" ca="1" si="1"/>
        <v>2106.6999999999998</v>
      </c>
      <c r="E5" s="29">
        <f t="shared" ca="1" si="1"/>
        <v>2461.61</v>
      </c>
      <c r="F5" s="176">
        <f t="shared" ca="1" si="1"/>
        <v>116.85</v>
      </c>
      <c r="H5" s="29">
        <v>3</v>
      </c>
      <c r="I5">
        <f t="shared" si="3"/>
        <v>20.100000000000001</v>
      </c>
      <c r="P5" s="76" t="s">
        <v>160</v>
      </c>
      <c r="Q5" s="80" t="s">
        <v>186</v>
      </c>
      <c r="R5" s="78">
        <v>2152.6999999999998</v>
      </c>
      <c r="S5" s="79">
        <v>116.2</v>
      </c>
      <c r="T5" s="78">
        <v>2501.44</v>
      </c>
      <c r="U5" s="80" t="s">
        <v>186</v>
      </c>
      <c r="V5" s="80" t="str">
        <f t="shared" ref="V5:V68" si="4">IF(LEFT(U5,1)="0",MID(U5,2,2),LEFT(U5,3))</f>
        <v>51</v>
      </c>
      <c r="W5" t="str">
        <f t="shared" ref="W5:W64" ca="1" si="5">INDEX($B$3:$C$115,MATCH(V5,$C$3:$C$116,0),1)</f>
        <v/>
      </c>
      <c r="X5" t="s">
        <v>175</v>
      </c>
      <c r="Y5">
        <v>20</v>
      </c>
      <c r="Z5">
        <v>25</v>
      </c>
      <c r="AA5" t="s">
        <v>179</v>
      </c>
      <c r="AB5" t="s">
        <v>180</v>
      </c>
      <c r="AD5" s="4" t="s">
        <v>302</v>
      </c>
      <c r="AE5" s="4" t="s">
        <v>303</v>
      </c>
      <c r="AF5" s="4"/>
      <c r="AG5" s="4" t="s">
        <v>295</v>
      </c>
      <c r="AH5" s="4" t="s">
        <v>297</v>
      </c>
      <c r="AI5" s="4" t="s">
        <v>296</v>
      </c>
      <c r="AJ5" s="4" t="s">
        <v>301</v>
      </c>
      <c r="AM5" s="4" t="s">
        <v>340</v>
      </c>
    </row>
    <row r="6" spans="1:39" ht="15.75" thickBot="1" x14ac:dyDescent="0.25">
      <c r="A6" s="48"/>
      <c r="B6" s="31" t="str">
        <f t="shared" ca="1" si="0"/>
        <v/>
      </c>
      <c r="C6" s="29" t="str">
        <f t="shared" ca="1" si="2"/>
        <v>57</v>
      </c>
      <c r="D6" s="29">
        <f t="shared" ca="1" si="1"/>
        <v>2147.1999999999998</v>
      </c>
      <c r="E6" s="29">
        <f t="shared" ca="1" si="1"/>
        <v>2494.31</v>
      </c>
      <c r="F6" s="176">
        <f t="shared" ca="1" si="1"/>
        <v>116.17</v>
      </c>
      <c r="H6" s="29">
        <v>4</v>
      </c>
      <c r="I6">
        <f t="shared" si="3"/>
        <v>26.8</v>
      </c>
      <c r="P6" s="76" t="s">
        <v>160</v>
      </c>
      <c r="Q6" s="80" t="s">
        <v>187</v>
      </c>
      <c r="R6" s="78">
        <v>2106.6999999999998</v>
      </c>
      <c r="S6" s="79">
        <v>116.85</v>
      </c>
      <c r="T6" s="78">
        <v>2461.61</v>
      </c>
      <c r="U6" s="80" t="s">
        <v>187</v>
      </c>
      <c r="V6" s="80" t="str">
        <f t="shared" si="4"/>
        <v>56</v>
      </c>
      <c r="W6" t="str">
        <f t="shared" ca="1" si="5"/>
        <v/>
      </c>
      <c r="Y6">
        <v>35</v>
      </c>
      <c r="Z6">
        <v>35</v>
      </c>
      <c r="AA6" t="s">
        <v>173</v>
      </c>
      <c r="AB6" t="s">
        <v>180</v>
      </c>
    </row>
    <row r="7" spans="1:39" ht="15.75" thickBot="1" x14ac:dyDescent="0.25">
      <c r="A7" s="48"/>
      <c r="B7" s="31" t="str">
        <f t="shared" ca="1" si="0"/>
        <v/>
      </c>
      <c r="C7" s="29" t="str">
        <f t="shared" ca="1" si="2"/>
        <v>58</v>
      </c>
      <c r="D7" s="29">
        <f t="shared" ca="1" si="1"/>
        <v>2147.6</v>
      </c>
      <c r="E7" s="29">
        <f t="shared" ca="1" si="1"/>
        <v>2508.21</v>
      </c>
      <c r="F7" s="176">
        <f t="shared" ca="1" si="1"/>
        <v>116.79</v>
      </c>
      <c r="H7" s="29">
        <v>5</v>
      </c>
      <c r="I7">
        <f t="shared" si="3"/>
        <v>33.5</v>
      </c>
      <c r="J7" s="29">
        <v>1.103</v>
      </c>
      <c r="P7" s="76" t="s">
        <v>160</v>
      </c>
      <c r="Q7" s="80" t="s">
        <v>188</v>
      </c>
      <c r="R7" s="78">
        <v>2147.1999999999998</v>
      </c>
      <c r="S7" s="79">
        <v>116.17</v>
      </c>
      <c r="T7" s="78">
        <v>2494.31</v>
      </c>
      <c r="U7" s="80" t="s">
        <v>188</v>
      </c>
      <c r="V7" s="80" t="str">
        <f t="shared" si="4"/>
        <v>57</v>
      </c>
      <c r="W7" t="str">
        <f t="shared" ca="1" si="5"/>
        <v/>
      </c>
      <c r="X7" t="s">
        <v>69</v>
      </c>
      <c r="Y7">
        <v>20</v>
      </c>
      <c r="Z7">
        <v>25</v>
      </c>
      <c r="AA7" t="s">
        <v>178</v>
      </c>
      <c r="AD7" t="s">
        <v>304</v>
      </c>
      <c r="AE7" t="s">
        <v>91</v>
      </c>
    </row>
    <row r="8" spans="1:39" ht="15.75" thickBot="1" x14ac:dyDescent="0.25">
      <c r="A8" s="48"/>
      <c r="B8" s="31" t="str">
        <f t="shared" ca="1" si="0"/>
        <v/>
      </c>
      <c r="C8" s="29" t="str">
        <f t="shared" ca="1" si="2"/>
        <v>60</v>
      </c>
      <c r="D8" s="29">
        <f t="shared" ca="1" si="1"/>
        <v>2155.6</v>
      </c>
      <c r="E8" s="29">
        <f t="shared" ca="1" si="1"/>
        <v>2520.1</v>
      </c>
      <c r="F8" s="176">
        <f t="shared" ca="1" si="1"/>
        <v>116.91</v>
      </c>
      <c r="H8" s="29">
        <v>6</v>
      </c>
      <c r="I8">
        <f t="shared" si="3"/>
        <v>40.200000000000003</v>
      </c>
      <c r="J8">
        <f>((($J$7-$J$12)/($I$7-$I$12))*(I8-$I$7))+$J$7</f>
        <v>1.1037999999999999</v>
      </c>
      <c r="P8" s="76" t="s">
        <v>160</v>
      </c>
      <c r="Q8" s="80" t="s">
        <v>189</v>
      </c>
      <c r="R8" s="78">
        <v>2147.6</v>
      </c>
      <c r="S8" s="79">
        <v>116.79</v>
      </c>
      <c r="T8" s="78">
        <v>2508.21</v>
      </c>
      <c r="U8" s="80" t="s">
        <v>189</v>
      </c>
      <c r="V8" s="80" t="str">
        <f t="shared" si="4"/>
        <v>58</v>
      </c>
      <c r="W8" t="str">
        <f t="shared" ca="1" si="5"/>
        <v/>
      </c>
      <c r="X8" t="s">
        <v>182</v>
      </c>
      <c r="Y8">
        <v>20</v>
      </c>
      <c r="Z8">
        <v>25</v>
      </c>
      <c r="AA8" t="s">
        <v>181</v>
      </c>
      <c r="AD8">
        <v>0</v>
      </c>
      <c r="AE8">
        <v>9999</v>
      </c>
    </row>
    <row r="9" spans="1:39" ht="15.75" thickBot="1" x14ac:dyDescent="0.25">
      <c r="A9" s="48"/>
      <c r="B9" s="31" t="str">
        <f t="shared" ca="1" si="0"/>
        <v/>
      </c>
      <c r="C9" s="29" t="str">
        <f t="shared" ca="1" si="2"/>
        <v>61</v>
      </c>
      <c r="D9" s="29">
        <f t="shared" ca="1" si="1"/>
        <v>2136.6999999999998</v>
      </c>
      <c r="E9" s="29">
        <f t="shared" ca="1" si="1"/>
        <v>2481.8000000000002</v>
      </c>
      <c r="F9" s="176">
        <f t="shared" ca="1" si="1"/>
        <v>116.15</v>
      </c>
      <c r="H9" s="29">
        <v>7</v>
      </c>
      <c r="I9">
        <f t="shared" si="3"/>
        <v>46.9</v>
      </c>
      <c r="J9">
        <f t="shared" ref="J9:J11" si="6">((($J$7-$J$12)/($I$7-$I$12))*(I9-$I$7))+$J$7</f>
        <v>1.1046</v>
      </c>
      <c r="P9" s="76" t="s">
        <v>160</v>
      </c>
      <c r="Q9" s="80" t="s">
        <v>190</v>
      </c>
      <c r="R9" s="78">
        <v>2155.6</v>
      </c>
      <c r="S9" s="79">
        <v>116.91</v>
      </c>
      <c r="T9" s="78">
        <v>2520.1</v>
      </c>
      <c r="U9" s="80" t="s">
        <v>190</v>
      </c>
      <c r="V9" s="80" t="str">
        <f t="shared" si="4"/>
        <v>60</v>
      </c>
      <c r="W9" t="str">
        <f t="shared" ca="1" si="5"/>
        <v/>
      </c>
      <c r="Y9">
        <v>35</v>
      </c>
      <c r="Z9">
        <v>35</v>
      </c>
      <c r="AA9" t="s">
        <v>173</v>
      </c>
      <c r="AD9">
        <v>2900</v>
      </c>
      <c r="AE9">
        <v>1800</v>
      </c>
    </row>
    <row r="10" spans="1:39" ht="15.75" thickBot="1" x14ac:dyDescent="0.25">
      <c r="A10" s="48"/>
      <c r="B10" s="31" t="str">
        <f t="shared" ca="1" si="0"/>
        <v/>
      </c>
      <c r="C10" s="29" t="str">
        <f t="shared" ca="1" si="2"/>
        <v>62</v>
      </c>
      <c r="D10" s="29">
        <f t="shared" ca="1" si="1"/>
        <v>2150.1</v>
      </c>
      <c r="E10" s="29">
        <f t="shared" ca="1" si="1"/>
        <v>2494.85</v>
      </c>
      <c r="F10" s="176">
        <f t="shared" ca="1" si="1"/>
        <v>116.03</v>
      </c>
      <c r="H10" s="29">
        <v>8</v>
      </c>
      <c r="I10">
        <f t="shared" si="3"/>
        <v>53.6</v>
      </c>
      <c r="J10">
        <f t="shared" si="6"/>
        <v>1.1053999999999999</v>
      </c>
      <c r="P10" s="76" t="s">
        <v>160</v>
      </c>
      <c r="Q10" s="80" t="s">
        <v>191</v>
      </c>
      <c r="R10" s="78">
        <v>2136.6999999999998</v>
      </c>
      <c r="S10" s="79">
        <v>116.15</v>
      </c>
      <c r="T10" s="78">
        <v>2481.8000000000002</v>
      </c>
      <c r="U10" s="80" t="s">
        <v>191</v>
      </c>
      <c r="V10" s="80" t="str">
        <f t="shared" si="4"/>
        <v>61</v>
      </c>
      <c r="W10" t="str">
        <f t="shared" ca="1" si="5"/>
        <v/>
      </c>
      <c r="Y10" t="s">
        <v>171</v>
      </c>
      <c r="Z10" t="s">
        <v>172</v>
      </c>
      <c r="AA10" s="31" t="s">
        <v>170</v>
      </c>
      <c r="AD10">
        <v>3200</v>
      </c>
      <c r="AE10">
        <v>0</v>
      </c>
    </row>
    <row r="11" spans="1:39" ht="15.75" thickBot="1" x14ac:dyDescent="0.3">
      <c r="A11" s="48"/>
      <c r="B11" s="31" t="str">
        <f t="shared" ca="1" si="0"/>
        <v/>
      </c>
      <c r="C11" s="29" t="str">
        <f t="shared" ca="1" si="2"/>
        <v>63</v>
      </c>
      <c r="D11" s="29">
        <f t="shared" ca="1" si="1"/>
        <v>2159.6999999999998</v>
      </c>
      <c r="E11" s="29">
        <f t="shared" ca="1" si="1"/>
        <v>2525.2600000000002</v>
      </c>
      <c r="F11" s="176">
        <f t="shared" ca="1" si="1"/>
        <v>116.93</v>
      </c>
      <c r="H11" s="29">
        <v>9</v>
      </c>
      <c r="I11">
        <f t="shared" si="3"/>
        <v>60.300000000000004</v>
      </c>
      <c r="J11">
        <f t="shared" si="6"/>
        <v>1.1062000000000001</v>
      </c>
      <c r="P11" s="76" t="s">
        <v>160</v>
      </c>
      <c r="Q11" s="80" t="s">
        <v>192</v>
      </c>
      <c r="R11" s="78">
        <v>2150.1</v>
      </c>
      <c r="S11" s="79">
        <v>116.03</v>
      </c>
      <c r="T11" s="78">
        <v>2494.85</v>
      </c>
      <c r="U11" s="80" t="s">
        <v>192</v>
      </c>
      <c r="V11" s="80" t="str">
        <f t="shared" si="4"/>
        <v>62</v>
      </c>
      <c r="W11" t="str">
        <f t="shared" ca="1" si="5"/>
        <v/>
      </c>
      <c r="X11" t="s">
        <v>176</v>
      </c>
      <c r="Y11" s="86" t="str">
        <f>MID('W &amp; B'!D7,5,2)</f>
        <v/>
      </c>
      <c r="Z11" s="86" t="str">
        <f>IF(OR(MID('W &amp; B'!D7,7,1)="G",MID('W &amp; B'!D7,7,1)="g",MID('W &amp; B'!D7,7,1)="/"),RIGHT('W &amp; B'!D7,2),"")</f>
        <v/>
      </c>
      <c r="AA11" s="87" t="str">
        <f>IF(LEFT('W &amp; B'!C4,1)="C","Contact",IF(LEFT('W &amp; B'!C4,1)="N","Nav",IF(LEFT('W &amp; B'!C4,1)="V","NVG","All others")))</f>
        <v>All others</v>
      </c>
      <c r="AB11" s="87" t="str">
        <f>IF('W &amp; B'!E4="Yes","Solo","")</f>
        <v/>
      </c>
    </row>
    <row r="12" spans="1:39" ht="15.75" thickBot="1" x14ac:dyDescent="0.3">
      <c r="A12" s="48"/>
      <c r="B12" s="31" t="str">
        <f t="shared" ca="1" si="0"/>
        <v/>
      </c>
      <c r="C12" s="29" t="str">
        <f t="shared" ca="1" si="2"/>
        <v>65</v>
      </c>
      <c r="D12" s="29">
        <f t="shared" ca="1" si="1"/>
        <v>2146.1999999999998</v>
      </c>
      <c r="E12" s="29">
        <f t="shared" ca="1" si="1"/>
        <v>2502.2199999999998</v>
      </c>
      <c r="F12" s="176">
        <f t="shared" ca="1" si="1"/>
        <v>116.59</v>
      </c>
      <c r="H12" s="29">
        <v>10</v>
      </c>
      <c r="I12">
        <f t="shared" si="3"/>
        <v>67</v>
      </c>
      <c r="J12" s="29">
        <v>1.107</v>
      </c>
      <c r="P12" s="76" t="s">
        <v>160</v>
      </c>
      <c r="Q12" s="80" t="s">
        <v>193</v>
      </c>
      <c r="R12" s="78">
        <v>2159.6999999999998</v>
      </c>
      <c r="S12" s="79">
        <v>116.93</v>
      </c>
      <c r="T12" s="78">
        <v>2525.2600000000002</v>
      </c>
      <c r="U12" s="80" t="s">
        <v>193</v>
      </c>
      <c r="V12" s="80" t="str">
        <f t="shared" si="4"/>
        <v>63</v>
      </c>
      <c r="W12" t="str">
        <f t="shared" ca="1" si="5"/>
        <v/>
      </c>
      <c r="X12" t="s">
        <v>177</v>
      </c>
      <c r="Y12" s="87">
        <f>IF($AB$11&lt;&gt;"Solo",INDEX($X$4:$AB$6,MATCH($AA$11,$AA$4:$AA$6,0),MATCH(Y$10,$X$3:$AB$3,0)),INDEX($X$7:$AB$9,MATCH($AA$11,$AA$7:$AA$9,0),MATCH(Y$10,$X$3:$AB$3,0)))</f>
        <v>35</v>
      </c>
      <c r="Z12" s="87">
        <f>IF($AB$11&lt;&gt;"Solo",INDEX($X$4:$AB$6,MATCH($AA$11,$AA$4:$AA$6,0),MATCH(Z$10,$X$3:$AB$3,0)),INDEX($X$7:$AB$9,MATCH($AA$11,$AA$7:$AA$9,0),MATCH(Z$10,$X$3:$AB$3,0)))</f>
        <v>35</v>
      </c>
      <c r="AA12" s="87"/>
      <c r="AB12" s="87"/>
    </row>
    <row r="13" spans="1:39" ht="15.75" thickBot="1" x14ac:dyDescent="0.25">
      <c r="A13" s="48"/>
      <c r="B13" s="31" t="str">
        <f t="shared" ca="1" si="0"/>
        <v/>
      </c>
      <c r="C13" s="29" t="str">
        <f t="shared" ca="1" si="2"/>
        <v>66</v>
      </c>
      <c r="D13" s="29">
        <f t="shared" ca="1" si="1"/>
        <v>2164.6</v>
      </c>
      <c r="E13" s="29">
        <f t="shared" ca="1" si="1"/>
        <v>2519.61</v>
      </c>
      <c r="F13" s="176">
        <f t="shared" ca="1" si="1"/>
        <v>116.4</v>
      </c>
      <c r="H13" s="29">
        <v>11</v>
      </c>
      <c r="I13">
        <f t="shared" si="3"/>
        <v>73.7</v>
      </c>
      <c r="J13">
        <f>((($J$12-$J$22)/($I$12-$I$22))*(I13-$I$12))+$J$12</f>
        <v>1.1071</v>
      </c>
      <c r="P13" s="76" t="s">
        <v>160</v>
      </c>
      <c r="Q13" s="80" t="s">
        <v>194</v>
      </c>
      <c r="R13" s="78">
        <v>2146.1999999999998</v>
      </c>
      <c r="S13" s="79">
        <v>116.59</v>
      </c>
      <c r="T13" s="78">
        <v>2502.2199999999998</v>
      </c>
      <c r="U13" s="80" t="s">
        <v>194</v>
      </c>
      <c r="V13" s="80" t="str">
        <f t="shared" si="4"/>
        <v>65</v>
      </c>
      <c r="W13" t="str">
        <f t="shared" ca="1" si="5"/>
        <v/>
      </c>
    </row>
    <row r="14" spans="1:39" ht="15.75" thickBot="1" x14ac:dyDescent="0.25">
      <c r="A14" s="48"/>
      <c r="B14" s="31" t="str">
        <f t="shared" ca="1" si="0"/>
        <v>+</v>
      </c>
      <c r="C14" s="29" t="str">
        <f t="shared" ca="1" si="2"/>
        <v>67</v>
      </c>
      <c r="D14" s="29">
        <f t="shared" ca="1" si="1"/>
        <v>2171.5</v>
      </c>
      <c r="E14" s="29">
        <f t="shared" ca="1" si="1"/>
        <v>2523.4299999999998</v>
      </c>
      <c r="F14" s="176">
        <f t="shared" ca="1" si="1"/>
        <v>116.21</v>
      </c>
      <c r="H14" s="29">
        <v>12</v>
      </c>
      <c r="I14">
        <f t="shared" si="3"/>
        <v>80.400000000000006</v>
      </c>
      <c r="J14">
        <f t="shared" ref="J14:J21" si="7">((($J$12-$J$22)/($I$12-$I$22))*(I14-$I$12))+$J$12</f>
        <v>1.1072</v>
      </c>
      <c r="P14" s="76" t="s">
        <v>160</v>
      </c>
      <c r="Q14" s="80" t="s">
        <v>195</v>
      </c>
      <c r="R14" s="78">
        <v>2164.6</v>
      </c>
      <c r="S14" s="79">
        <v>116.4</v>
      </c>
      <c r="T14" s="78">
        <v>2519.61</v>
      </c>
      <c r="U14" s="80" t="s">
        <v>195</v>
      </c>
      <c r="V14" s="80" t="str">
        <f t="shared" si="4"/>
        <v>66</v>
      </c>
      <c r="W14" t="str">
        <f t="shared" ca="1" si="5"/>
        <v/>
      </c>
    </row>
    <row r="15" spans="1:39" ht="15.75" thickBot="1" x14ac:dyDescent="0.25">
      <c r="A15" s="48"/>
      <c r="B15" s="31" t="str">
        <f t="shared" ca="1" si="0"/>
        <v/>
      </c>
      <c r="C15" s="29" t="str">
        <f t="shared" ca="1" si="2"/>
        <v>69</v>
      </c>
      <c r="D15" s="29">
        <f t="shared" ca="1" si="1"/>
        <v>2138.1999999999998</v>
      </c>
      <c r="E15" s="29">
        <f t="shared" ca="1" si="1"/>
        <v>2490.94</v>
      </c>
      <c r="F15" s="176">
        <f t="shared" ca="1" si="1"/>
        <v>116.5</v>
      </c>
      <c r="H15" s="29">
        <v>13</v>
      </c>
      <c r="I15">
        <f t="shared" si="3"/>
        <v>87.100000000000009</v>
      </c>
      <c r="J15">
        <f t="shared" si="7"/>
        <v>1.1073</v>
      </c>
      <c r="P15" s="76" t="s">
        <v>160</v>
      </c>
      <c r="Q15" s="80" t="s">
        <v>196</v>
      </c>
      <c r="R15" s="78">
        <v>2171.5</v>
      </c>
      <c r="S15" s="79">
        <v>116.21</v>
      </c>
      <c r="T15" s="78">
        <v>2523.4299999999998</v>
      </c>
      <c r="U15" s="80" t="s">
        <v>196</v>
      </c>
      <c r="V15" s="80" t="str">
        <f t="shared" si="4"/>
        <v>67</v>
      </c>
      <c r="W15" t="str">
        <f t="shared" ca="1" si="5"/>
        <v>+</v>
      </c>
    </row>
    <row r="16" spans="1:39" ht="15.75" thickBot="1" x14ac:dyDescent="0.25">
      <c r="A16" s="48"/>
      <c r="B16" s="31" t="str">
        <f t="shared" ca="1" si="0"/>
        <v/>
      </c>
      <c r="C16" s="29" t="str">
        <f t="shared" ca="1" si="2"/>
        <v>70</v>
      </c>
      <c r="D16" s="29">
        <f t="shared" ca="1" si="1"/>
        <v>2126.1999999999998</v>
      </c>
      <c r="E16" s="29">
        <f t="shared" ca="1" si="1"/>
        <v>2471.41</v>
      </c>
      <c r="F16" s="176">
        <f t="shared" ca="1" si="1"/>
        <v>116.24</v>
      </c>
      <c r="H16" s="29">
        <v>14</v>
      </c>
      <c r="I16">
        <f t="shared" si="3"/>
        <v>93.8</v>
      </c>
      <c r="J16">
        <f t="shared" si="7"/>
        <v>1.1073999999999999</v>
      </c>
      <c r="P16" s="76" t="s">
        <v>160</v>
      </c>
      <c r="Q16" s="80" t="s">
        <v>197</v>
      </c>
      <c r="R16" s="78">
        <v>2138.1999999999998</v>
      </c>
      <c r="S16" s="79">
        <v>116.5</v>
      </c>
      <c r="T16" s="78">
        <v>2490.94</v>
      </c>
      <c r="U16" s="80" t="s">
        <v>197</v>
      </c>
      <c r="V16" s="80" t="str">
        <f t="shared" si="4"/>
        <v>69</v>
      </c>
      <c r="W16" t="str">
        <f t="shared" ca="1" si="5"/>
        <v/>
      </c>
    </row>
    <row r="17" spans="1:39" ht="15.75" thickBot="1" x14ac:dyDescent="0.25">
      <c r="A17" s="48"/>
      <c r="B17" s="31" t="str">
        <f t="shared" ca="1" si="0"/>
        <v/>
      </c>
      <c r="C17" s="29" t="str">
        <f t="shared" ca="1" si="2"/>
        <v>71</v>
      </c>
      <c r="D17" s="29">
        <f t="shared" ca="1" si="1"/>
        <v>2146.6999999999998</v>
      </c>
      <c r="E17" s="29">
        <f t="shared" ca="1" si="1"/>
        <v>2500</v>
      </c>
      <c r="F17" s="176">
        <f t="shared" ca="1" si="1"/>
        <v>116.46</v>
      </c>
      <c r="H17" s="29">
        <v>15</v>
      </c>
      <c r="I17">
        <f t="shared" si="3"/>
        <v>100.5</v>
      </c>
      <c r="J17">
        <f t="shared" si="7"/>
        <v>1.1074999999999999</v>
      </c>
      <c r="P17" s="76" t="s">
        <v>160</v>
      </c>
      <c r="Q17" s="80" t="s">
        <v>198</v>
      </c>
      <c r="R17" s="78">
        <v>2126.1999999999998</v>
      </c>
      <c r="S17" s="79">
        <v>116.24</v>
      </c>
      <c r="T17" s="78">
        <v>2471.41</v>
      </c>
      <c r="U17" s="80" t="s">
        <v>198</v>
      </c>
      <c r="V17" s="80" t="str">
        <f t="shared" si="4"/>
        <v>70</v>
      </c>
      <c r="W17" t="str">
        <f t="shared" ca="1" si="5"/>
        <v/>
      </c>
    </row>
    <row r="18" spans="1:39" ht="15.75" thickBot="1" x14ac:dyDescent="0.25">
      <c r="A18" s="48"/>
      <c r="B18" s="31" t="str">
        <f t="shared" ca="1" si="0"/>
        <v/>
      </c>
      <c r="C18" s="29" t="str">
        <f t="shared" ca="1" si="2"/>
        <v>72</v>
      </c>
      <c r="D18" s="29">
        <f t="shared" ca="1" si="1"/>
        <v>2159.1999999999998</v>
      </c>
      <c r="E18" s="29">
        <f t="shared" ca="1" si="1"/>
        <v>2522.4899999999998</v>
      </c>
      <c r="F18" s="176">
        <f t="shared" ca="1" si="1"/>
        <v>116.83</v>
      </c>
      <c r="H18" s="29">
        <v>16</v>
      </c>
      <c r="I18">
        <f t="shared" si="3"/>
        <v>107.2</v>
      </c>
      <c r="J18">
        <f t="shared" si="7"/>
        <v>1.1076000000000001</v>
      </c>
      <c r="P18" s="76" t="s">
        <v>160</v>
      </c>
      <c r="Q18" s="80" t="s">
        <v>199</v>
      </c>
      <c r="R18" s="78">
        <v>2146.6999999999998</v>
      </c>
      <c r="S18" s="79">
        <v>116.46</v>
      </c>
      <c r="T18" s="78">
        <v>2500</v>
      </c>
      <c r="U18" s="80" t="s">
        <v>199</v>
      </c>
      <c r="V18" s="80" t="str">
        <f t="shared" si="4"/>
        <v>71</v>
      </c>
      <c r="W18" t="str">
        <f t="shared" ca="1" si="5"/>
        <v/>
      </c>
      <c r="AE18" t="s">
        <v>68</v>
      </c>
      <c r="AF18" t="s">
        <v>69</v>
      </c>
      <c r="AL18" t="s">
        <v>69</v>
      </c>
      <c r="AM18" t="s">
        <v>308</v>
      </c>
    </row>
    <row r="19" spans="1:39" ht="15.75" thickBot="1" x14ac:dyDescent="0.25">
      <c r="A19" s="48"/>
      <c r="B19" s="31" t="str">
        <f t="shared" ca="1" si="0"/>
        <v/>
      </c>
      <c r="C19" s="29" t="str">
        <f t="shared" ca="1" si="2"/>
        <v>74</v>
      </c>
      <c r="D19" s="29">
        <f t="shared" ca="1" si="1"/>
        <v>2158.6999999999998</v>
      </c>
      <c r="E19" s="29">
        <f t="shared" ca="1" si="1"/>
        <v>2527.83</v>
      </c>
      <c r="F19" s="176">
        <f t="shared" ca="1" si="1"/>
        <v>117.1</v>
      </c>
      <c r="H19" s="29">
        <v>17</v>
      </c>
      <c r="I19">
        <f t="shared" si="3"/>
        <v>113.9</v>
      </c>
      <c r="J19">
        <f t="shared" si="7"/>
        <v>1.1077000000000001</v>
      </c>
      <c r="P19" s="76" t="s">
        <v>160</v>
      </c>
      <c r="Q19" s="80" t="s">
        <v>200</v>
      </c>
      <c r="R19" s="78">
        <v>2159.1999999999998</v>
      </c>
      <c r="S19" s="79">
        <v>116.83</v>
      </c>
      <c r="T19" s="78">
        <v>2522.4899999999998</v>
      </c>
      <c r="U19" s="80" t="s">
        <v>200</v>
      </c>
      <c r="V19" s="80" t="str">
        <f t="shared" si="4"/>
        <v>72</v>
      </c>
      <c r="W19" t="str">
        <f t="shared" ca="1" si="5"/>
        <v/>
      </c>
      <c r="AD19">
        <v>2300</v>
      </c>
      <c r="AE19">
        <v>94</v>
      </c>
      <c r="AF19">
        <v>94</v>
      </c>
      <c r="AL19">
        <f ca="1">((AF23-AF21)/(AD23-AD21))*AM19+63.429</f>
        <v>91.602714285714285</v>
      </c>
      <c r="AM19">
        <f ca="1">HGW</f>
        <v>2465.1999999999998</v>
      </c>
    </row>
    <row r="20" spans="1:39" ht="15.75" thickBot="1" x14ac:dyDescent="0.25">
      <c r="A20" s="48"/>
      <c r="B20" s="31" t="str">
        <f t="shared" ca="1" si="0"/>
        <v/>
      </c>
      <c r="C20" s="29" t="str">
        <f t="shared" ca="1" si="2"/>
        <v>75</v>
      </c>
      <c r="D20" s="29">
        <f t="shared" ca="1" si="1"/>
        <v>2140.6999999999998</v>
      </c>
      <c r="E20" s="29">
        <f t="shared" ca="1" si="1"/>
        <v>2475.48</v>
      </c>
      <c r="F20" s="176">
        <f t="shared" ca="1" si="1"/>
        <v>115.64</v>
      </c>
      <c r="H20" s="29">
        <v>18</v>
      </c>
      <c r="I20">
        <f t="shared" si="3"/>
        <v>120.60000000000001</v>
      </c>
      <c r="J20">
        <f t="shared" si="7"/>
        <v>1.1078000000000001</v>
      </c>
      <c r="P20" s="76" t="s">
        <v>160</v>
      </c>
      <c r="Q20" s="80" t="s">
        <v>201</v>
      </c>
      <c r="R20" s="78">
        <v>2158.6999999999998</v>
      </c>
      <c r="S20" s="79">
        <v>117.1</v>
      </c>
      <c r="T20" s="78">
        <v>2527.83</v>
      </c>
      <c r="U20" s="80" t="s">
        <v>201</v>
      </c>
      <c r="V20" s="80" t="str">
        <f t="shared" si="4"/>
        <v>74</v>
      </c>
      <c r="W20" t="str">
        <f t="shared" ca="1" si="5"/>
        <v/>
      </c>
      <c r="AD20">
        <v>2575</v>
      </c>
      <c r="AE20">
        <v>94</v>
      </c>
      <c r="AF20">
        <v>94</v>
      </c>
      <c r="AL20" t="s">
        <v>68</v>
      </c>
      <c r="AM20" t="s">
        <v>309</v>
      </c>
    </row>
    <row r="21" spans="1:39" ht="15.75" thickBot="1" x14ac:dyDescent="0.25">
      <c r="A21" s="48"/>
      <c r="B21" s="31" t="str">
        <f t="shared" ca="1" si="0"/>
        <v/>
      </c>
      <c r="C21" s="29" t="str">
        <f t="shared" ca="1" si="2"/>
        <v>76</v>
      </c>
      <c r="D21" s="29">
        <f t="shared" ca="1" si="1"/>
        <v>2137.1999999999998</v>
      </c>
      <c r="E21" s="29">
        <f t="shared" ca="1" si="1"/>
        <v>2499.75</v>
      </c>
      <c r="F21" s="176">
        <f t="shared" ca="1" si="1"/>
        <v>116.96</v>
      </c>
      <c r="H21" s="29">
        <v>19</v>
      </c>
      <c r="I21">
        <f t="shared" si="3"/>
        <v>127.3</v>
      </c>
      <c r="J21">
        <f t="shared" si="7"/>
        <v>1.1079000000000001</v>
      </c>
      <c r="P21" s="76" t="s">
        <v>160</v>
      </c>
      <c r="Q21" s="80" t="s">
        <v>202</v>
      </c>
      <c r="R21" s="78">
        <v>2140.6999999999998</v>
      </c>
      <c r="S21" s="79">
        <v>115.64</v>
      </c>
      <c r="T21" s="78">
        <v>2475.48</v>
      </c>
      <c r="U21" s="80" t="s">
        <v>202</v>
      </c>
      <c r="V21" s="80" t="str">
        <f t="shared" si="4"/>
        <v>75</v>
      </c>
      <c r="W21" t="str">
        <f t="shared" ca="1" si="5"/>
        <v/>
      </c>
      <c r="AD21">
        <v>2675</v>
      </c>
      <c r="AE21">
        <f>((($AD21-$AD20)/($AD22-$AD20))*(AE22-AE20))+AE20</f>
        <v>95.121495327102807</v>
      </c>
      <c r="AF21">
        <v>94</v>
      </c>
      <c r="AL21">
        <f ca="1">((AE22-AE20)/(AD22-AD20))*AM21+65.121495327</f>
        <v>92.768598130738326</v>
      </c>
      <c r="AM21">
        <f ca="1">HGW</f>
        <v>2465.1999999999998</v>
      </c>
    </row>
    <row r="22" spans="1:39" ht="15.75" thickBot="1" x14ac:dyDescent="0.25">
      <c r="A22" s="48"/>
      <c r="B22" s="31" t="str">
        <f t="shared" ca="1" si="0"/>
        <v/>
      </c>
      <c r="C22" s="29" t="str">
        <f t="shared" ca="1" si="2"/>
        <v>77</v>
      </c>
      <c r="D22" s="29">
        <f t="shared" ca="1" si="1"/>
        <v>2149.6</v>
      </c>
      <c r="E22" s="29">
        <f t="shared" ca="1" si="1"/>
        <v>2499.92</v>
      </c>
      <c r="F22" s="176">
        <f t="shared" ca="1" si="1"/>
        <v>116.3</v>
      </c>
      <c r="H22" s="29">
        <v>20</v>
      </c>
      <c r="I22">
        <f t="shared" si="3"/>
        <v>134</v>
      </c>
      <c r="J22" s="29">
        <v>1.1080000000000001</v>
      </c>
      <c r="P22" s="76" t="s">
        <v>160</v>
      </c>
      <c r="Q22" s="80" t="s">
        <v>203</v>
      </c>
      <c r="R22" s="78">
        <v>2137.1999999999998</v>
      </c>
      <c r="S22" s="79">
        <v>116.96</v>
      </c>
      <c r="T22" s="78">
        <v>2499.75</v>
      </c>
      <c r="U22" s="80" t="s">
        <v>203</v>
      </c>
      <c r="V22" s="80" t="str">
        <f t="shared" si="4"/>
        <v>76</v>
      </c>
      <c r="W22" t="str">
        <f t="shared" ca="1" si="5"/>
        <v/>
      </c>
      <c r="AD22">
        <v>3110</v>
      </c>
      <c r="AE22">
        <v>100</v>
      </c>
      <c r="AF22">
        <f>((($AD22-$AD21)/($AD23-$AD21))*(AF23-AF21))+AF21</f>
        <v>98.971428571428575</v>
      </c>
    </row>
    <row r="23" spans="1:39" ht="15.75" thickBot="1" x14ac:dyDescent="0.25">
      <c r="A23" s="48"/>
      <c r="B23" s="31" t="str">
        <f t="shared" ca="1" si="0"/>
        <v/>
      </c>
      <c r="C23" s="29" t="str">
        <f t="shared" ca="1" si="2"/>
        <v>78</v>
      </c>
      <c r="D23" s="29">
        <f t="shared" ref="D23:F42" ca="1" si="8">IFERROR(INDEX($P$3:$V$116,MATCH($C23,$V$3:$V$116,0),MATCH(D$2,$P$3:$V$3,0)),"")</f>
        <v>2148.3000000000002</v>
      </c>
      <c r="E23" s="29">
        <f t="shared" ca="1" si="8"/>
        <v>2490.2600000000002</v>
      </c>
      <c r="F23" s="176">
        <f t="shared" ca="1" si="8"/>
        <v>115.92</v>
      </c>
      <c r="H23" s="29">
        <v>21</v>
      </c>
      <c r="I23">
        <f t="shared" si="3"/>
        <v>140.70000000000002</v>
      </c>
      <c r="J23">
        <f>((($J$22-$J$32)/($I$22-$I$32))*(I23-$I$22))+$J$22</f>
        <v>1.1080000000000001</v>
      </c>
      <c r="P23" s="76" t="s">
        <v>160</v>
      </c>
      <c r="Q23" s="80" t="s">
        <v>204</v>
      </c>
      <c r="R23" s="78">
        <v>2149.6</v>
      </c>
      <c r="S23" s="79">
        <v>116.3</v>
      </c>
      <c r="T23" s="78">
        <v>2499.92</v>
      </c>
      <c r="U23" s="80" t="s">
        <v>204</v>
      </c>
      <c r="V23" s="80" t="str">
        <f t="shared" si="4"/>
        <v>77</v>
      </c>
      <c r="W23" t="str">
        <f t="shared" ca="1" si="5"/>
        <v/>
      </c>
      <c r="AD23">
        <v>3200</v>
      </c>
      <c r="AF23">
        <v>100</v>
      </c>
    </row>
    <row r="24" spans="1:39" ht="15.75" thickBot="1" x14ac:dyDescent="0.25">
      <c r="A24" s="48"/>
      <c r="B24" s="31" t="str">
        <f t="shared" ca="1" si="0"/>
        <v/>
      </c>
      <c r="C24" s="29" t="str">
        <f t="shared" ca="1" si="2"/>
        <v>79</v>
      </c>
      <c r="D24" s="29">
        <f t="shared" ca="1" si="8"/>
        <v>2147.6999999999998</v>
      </c>
      <c r="E24" s="29">
        <f t="shared" ca="1" si="8"/>
        <v>2504.92</v>
      </c>
      <c r="F24" s="176">
        <f t="shared" ca="1" si="8"/>
        <v>116.63</v>
      </c>
      <c r="H24" s="29">
        <v>22</v>
      </c>
      <c r="I24">
        <f t="shared" si="3"/>
        <v>147.4</v>
      </c>
      <c r="J24">
        <f t="shared" ref="J24:J31" si="9">((($J$22-$J$32)/($I$22-$I$32))*(I24-$I$22))+$J$22</f>
        <v>1.1080000000000001</v>
      </c>
      <c r="P24" s="76" t="s">
        <v>160</v>
      </c>
      <c r="Q24" s="80" t="s">
        <v>205</v>
      </c>
      <c r="R24" s="78">
        <v>2148.3000000000002</v>
      </c>
      <c r="S24" s="79">
        <v>115.92</v>
      </c>
      <c r="T24" s="78">
        <v>2490.2600000000002</v>
      </c>
      <c r="U24" s="80" t="s">
        <v>205</v>
      </c>
      <c r="V24" s="80" t="str">
        <f t="shared" si="4"/>
        <v>78</v>
      </c>
      <c r="W24" t="str">
        <f t="shared" ca="1" si="5"/>
        <v/>
      </c>
    </row>
    <row r="25" spans="1:39" ht="15.75" thickBot="1" x14ac:dyDescent="0.25">
      <c r="A25" s="48"/>
      <c r="B25" s="31" t="str">
        <f t="shared" ca="1" si="0"/>
        <v/>
      </c>
      <c r="C25" s="29" t="str">
        <f t="shared" ca="1" si="2"/>
        <v>80</v>
      </c>
      <c r="D25" s="29">
        <f t="shared" ca="1" si="8"/>
        <v>2150</v>
      </c>
      <c r="E25" s="29">
        <f t="shared" ca="1" si="8"/>
        <v>2497.1999999999998</v>
      </c>
      <c r="F25" s="176">
        <f t="shared" ca="1" si="8"/>
        <v>116.15</v>
      </c>
      <c r="H25" s="29">
        <v>23</v>
      </c>
      <c r="I25">
        <f t="shared" si="3"/>
        <v>154.1</v>
      </c>
      <c r="J25">
        <f t="shared" si="9"/>
        <v>1.1080000000000001</v>
      </c>
      <c r="P25" s="76" t="s">
        <v>160</v>
      </c>
      <c r="Q25" s="80" t="s">
        <v>206</v>
      </c>
      <c r="R25" s="78">
        <v>2147.6999999999998</v>
      </c>
      <c r="S25" s="79">
        <v>116.63</v>
      </c>
      <c r="T25" s="78">
        <v>2504.92</v>
      </c>
      <c r="U25" s="80" t="s">
        <v>206</v>
      </c>
      <c r="V25" s="80" t="str">
        <f t="shared" si="4"/>
        <v>79</v>
      </c>
      <c r="W25" t="str">
        <f t="shared" ca="1" si="5"/>
        <v/>
      </c>
    </row>
    <row r="26" spans="1:39" ht="15.75" thickBot="1" x14ac:dyDescent="0.25">
      <c r="A26" s="48"/>
      <c r="B26" s="31" t="str">
        <f t="shared" ca="1" si="0"/>
        <v/>
      </c>
      <c r="C26" s="29" t="str">
        <f t="shared" ca="1" si="2"/>
        <v>82</v>
      </c>
      <c r="D26" s="29">
        <f t="shared" ca="1" si="8"/>
        <v>2157.1999999999998</v>
      </c>
      <c r="E26" s="29">
        <f t="shared" ca="1" si="8"/>
        <v>2513.2800000000002</v>
      </c>
      <c r="F26" s="176">
        <f t="shared" ca="1" si="8"/>
        <v>116.51</v>
      </c>
      <c r="H26" s="29">
        <v>24</v>
      </c>
      <c r="I26">
        <f t="shared" si="3"/>
        <v>160.80000000000001</v>
      </c>
      <c r="J26">
        <f t="shared" si="9"/>
        <v>1.1080000000000001</v>
      </c>
      <c r="P26" s="76" t="s">
        <v>160</v>
      </c>
      <c r="Q26" s="80" t="s">
        <v>207</v>
      </c>
      <c r="R26" s="78">
        <v>2150</v>
      </c>
      <c r="S26" s="79">
        <v>116.15</v>
      </c>
      <c r="T26" s="78">
        <v>2497.1999999999998</v>
      </c>
      <c r="U26" s="80" t="s">
        <v>207</v>
      </c>
      <c r="V26" s="80" t="str">
        <f t="shared" si="4"/>
        <v>80</v>
      </c>
      <c r="W26" t="str">
        <f t="shared" ca="1" si="5"/>
        <v/>
      </c>
    </row>
    <row r="27" spans="1:39" ht="15.75" thickBot="1" x14ac:dyDescent="0.25">
      <c r="A27" s="48"/>
      <c r="B27" s="31" t="str">
        <f t="shared" ca="1" si="0"/>
        <v/>
      </c>
      <c r="C27" s="29" t="str">
        <f t="shared" ca="1" si="2"/>
        <v>83</v>
      </c>
      <c r="D27" s="29">
        <f t="shared" ca="1" si="8"/>
        <v>2162.1999999999998</v>
      </c>
      <c r="E27" s="29">
        <f t="shared" ca="1" si="8"/>
        <v>2515.41</v>
      </c>
      <c r="F27" s="176">
        <f t="shared" ca="1" si="8"/>
        <v>116.34</v>
      </c>
      <c r="H27" s="29">
        <v>25</v>
      </c>
      <c r="I27">
        <f t="shared" si="3"/>
        <v>167.5</v>
      </c>
      <c r="J27">
        <f t="shared" si="9"/>
        <v>1.1080000000000001</v>
      </c>
      <c r="P27" s="76" t="s">
        <v>160</v>
      </c>
      <c r="Q27" s="80" t="s">
        <v>208</v>
      </c>
      <c r="R27" s="78">
        <v>2157.1999999999998</v>
      </c>
      <c r="S27" s="79">
        <v>116.51</v>
      </c>
      <c r="T27" s="78">
        <v>2513.2800000000002</v>
      </c>
      <c r="U27" s="80" t="s">
        <v>208</v>
      </c>
      <c r="V27" s="80" t="str">
        <f t="shared" si="4"/>
        <v>82</v>
      </c>
      <c r="W27" t="str">
        <f t="shared" ca="1" si="5"/>
        <v/>
      </c>
    </row>
    <row r="28" spans="1:39" ht="15.75" thickBot="1" x14ac:dyDescent="0.25">
      <c r="A28" s="48"/>
      <c r="B28" s="31" t="str">
        <f t="shared" ca="1" si="0"/>
        <v/>
      </c>
      <c r="C28" s="29" t="str">
        <f t="shared" ca="1" si="2"/>
        <v>84</v>
      </c>
      <c r="D28" s="29">
        <f t="shared" ca="1" si="8"/>
        <v>2131.3000000000002</v>
      </c>
      <c r="E28" s="29">
        <f t="shared" ca="1" si="8"/>
        <v>2475.36</v>
      </c>
      <c r="F28" s="176">
        <f t="shared" ca="1" si="8"/>
        <v>116.14</v>
      </c>
      <c r="H28" s="29">
        <v>26</v>
      </c>
      <c r="I28">
        <f t="shared" si="3"/>
        <v>174.20000000000002</v>
      </c>
      <c r="J28">
        <f t="shared" si="9"/>
        <v>1.1080000000000001</v>
      </c>
      <c r="P28" s="76" t="s">
        <v>160</v>
      </c>
      <c r="Q28" s="80" t="s">
        <v>209</v>
      </c>
      <c r="R28" s="78">
        <v>2162.1999999999998</v>
      </c>
      <c r="S28" s="79">
        <v>116.34</v>
      </c>
      <c r="T28" s="78">
        <v>2515.41</v>
      </c>
      <c r="U28" s="80" t="s">
        <v>209</v>
      </c>
      <c r="V28" s="80" t="str">
        <f t="shared" si="4"/>
        <v>83</v>
      </c>
      <c r="W28" t="str">
        <f t="shared" ca="1" si="5"/>
        <v/>
      </c>
    </row>
    <row r="29" spans="1:39" ht="15.75" thickBot="1" x14ac:dyDescent="0.25">
      <c r="A29" s="48"/>
      <c r="B29" s="31" t="str">
        <f t="shared" ca="1" si="0"/>
        <v/>
      </c>
      <c r="C29" s="29" t="str">
        <f t="shared" ca="1" si="2"/>
        <v>85</v>
      </c>
      <c r="D29" s="29">
        <f t="shared" ca="1" si="8"/>
        <v>2157.1999999999998</v>
      </c>
      <c r="E29" s="29">
        <f t="shared" ca="1" si="8"/>
        <v>2502.0500000000002</v>
      </c>
      <c r="F29" s="176">
        <f t="shared" ca="1" si="8"/>
        <v>115.99</v>
      </c>
      <c r="H29" s="29">
        <v>27</v>
      </c>
      <c r="I29">
        <f t="shared" si="3"/>
        <v>180.9</v>
      </c>
      <c r="J29">
        <f t="shared" si="9"/>
        <v>1.1080000000000001</v>
      </c>
      <c r="P29" s="76" t="s">
        <v>160</v>
      </c>
      <c r="Q29" s="80" t="s">
        <v>210</v>
      </c>
      <c r="R29" s="78">
        <v>2131.3000000000002</v>
      </c>
      <c r="S29" s="79">
        <v>116.14</v>
      </c>
      <c r="T29" s="78">
        <v>2475.36</v>
      </c>
      <c r="U29" s="80" t="s">
        <v>210</v>
      </c>
      <c r="V29" s="80" t="str">
        <f t="shared" si="4"/>
        <v>84</v>
      </c>
      <c r="W29" t="str">
        <f t="shared" ca="1" si="5"/>
        <v/>
      </c>
      <c r="Y29" t="s">
        <v>322</v>
      </c>
      <c r="Z29" t="s">
        <v>324</v>
      </c>
      <c r="AA29" t="s">
        <v>325</v>
      </c>
      <c r="AB29" t="s">
        <v>326</v>
      </c>
      <c r="AC29" t="s">
        <v>327</v>
      </c>
    </row>
    <row r="30" spans="1:39" ht="15.75" thickBot="1" x14ac:dyDescent="0.25">
      <c r="A30" s="48"/>
      <c r="B30" s="31" t="str">
        <f t="shared" ca="1" si="0"/>
        <v/>
      </c>
      <c r="C30" s="29" t="str">
        <f t="shared" ca="1" si="2"/>
        <v>86</v>
      </c>
      <c r="D30" s="29">
        <f t="shared" ca="1" si="8"/>
        <v>2153.1999999999998</v>
      </c>
      <c r="E30" s="29">
        <f t="shared" ca="1" si="8"/>
        <v>2498.59</v>
      </c>
      <c r="F30" s="176">
        <f t="shared" ca="1" si="8"/>
        <v>116.04</v>
      </c>
      <c r="H30" s="29">
        <v>28</v>
      </c>
      <c r="I30">
        <f t="shared" si="3"/>
        <v>187.6</v>
      </c>
      <c r="J30">
        <f t="shared" si="9"/>
        <v>1.1080000000000001</v>
      </c>
      <c r="P30" s="76" t="s">
        <v>160</v>
      </c>
      <c r="Q30" s="80" t="s">
        <v>211</v>
      </c>
      <c r="R30" s="78">
        <v>2157.1999999999998</v>
      </c>
      <c r="S30" s="79">
        <v>115.99</v>
      </c>
      <c r="T30" s="78">
        <v>2502.0500000000002</v>
      </c>
      <c r="U30" s="80" t="s">
        <v>211</v>
      </c>
      <c r="V30" s="80" t="str">
        <f t="shared" si="4"/>
        <v>85</v>
      </c>
      <c r="W30" t="str">
        <f t="shared" ca="1" si="5"/>
        <v/>
      </c>
      <c r="Y30">
        <v>0</v>
      </c>
      <c r="Z30" s="93" t="e">
        <f>IF(OR($Y30=ROUND(VALUE(Data!$AF$49),-1),$Y30=ROUND(VALUE(Data!$AG$49),-1)),VALUE($Y$12),0)</f>
        <v>#VALUE!</v>
      </c>
      <c r="AA30" s="93" t="e">
        <f>IF(OR($Y30=ROUND(VALUE(Data!$AF$49),-1),$Y30=ROUND(VALUE(Data!$AG$49),-1)),VALUE($Z$12),0)</f>
        <v>#VALUE!</v>
      </c>
      <c r="AB30" s="93" t="str">
        <f>IFERROR(IF(OR($Y30=ROUND(VALUE(Data!$AF$49),-1),$Y30=ROUND(VALUE(Data!$AG$49),-1)),VALUE($Y$11),0),"")</f>
        <v/>
      </c>
      <c r="AC30" s="93" t="str">
        <f>IF($Z$11="","",IF(OR($Y30=ROUND(VALUE(Data!$AF$49),-1),$Y30=ROUND(VALUE(Data!$AG$49),-1)),VALUE($Z$11),0))</f>
        <v/>
      </c>
    </row>
    <row r="31" spans="1:39" ht="15.75" thickBot="1" x14ac:dyDescent="0.25">
      <c r="A31" s="48"/>
      <c r="B31" s="31" t="str">
        <f t="shared" ca="1" si="0"/>
        <v/>
      </c>
      <c r="C31" s="29" t="str">
        <f t="shared" ca="1" si="2"/>
        <v>87</v>
      </c>
      <c r="D31" s="29">
        <f t="shared" ca="1" si="8"/>
        <v>2163.6999999999998</v>
      </c>
      <c r="E31" s="29">
        <f t="shared" ca="1" si="8"/>
        <v>2508.75</v>
      </c>
      <c r="F31" s="176">
        <f t="shared" ca="1" si="8"/>
        <v>115.95</v>
      </c>
      <c r="H31" s="29">
        <v>29</v>
      </c>
      <c r="I31">
        <f t="shared" si="3"/>
        <v>194.3</v>
      </c>
      <c r="J31">
        <f t="shared" si="9"/>
        <v>1.1080000000000001</v>
      </c>
      <c r="P31" s="76" t="s">
        <v>160</v>
      </c>
      <c r="Q31" s="80" t="s">
        <v>212</v>
      </c>
      <c r="R31" s="78">
        <v>2153.1999999999998</v>
      </c>
      <c r="S31" s="79">
        <v>116.04</v>
      </c>
      <c r="T31" s="78">
        <v>2498.59</v>
      </c>
      <c r="U31" s="80" t="s">
        <v>212</v>
      </c>
      <c r="V31" s="80" t="str">
        <f t="shared" si="4"/>
        <v>86</v>
      </c>
      <c r="W31" t="str">
        <f t="shared" ca="1" si="5"/>
        <v/>
      </c>
      <c r="Y31">
        <v>10</v>
      </c>
      <c r="Z31" s="93" t="e">
        <f>IF(OR($Y31=ROUND(VALUE(Data!$AF$49),-1),$Y31=ROUND(VALUE(Data!$AG$49),-1)),VALUE($Y$12),0)</f>
        <v>#VALUE!</v>
      </c>
      <c r="AA31" s="93" t="e">
        <f>IF(OR($Y31=ROUND(VALUE(Data!$AF$49),-1),$Y31=ROUND(VALUE(Data!$AG$49),-1)),VALUE($Z$12),0)</f>
        <v>#VALUE!</v>
      </c>
      <c r="AB31" s="93" t="str">
        <f>IFERROR(IF(OR($Y31=ROUND(VALUE(Data!$AF$49),-1),$Y31=ROUND(VALUE(Data!$AG$49),-1)),VALUE($Y$11),0),"")</f>
        <v/>
      </c>
      <c r="AC31" s="93" t="str">
        <f>IF($Z$11="","",IF(OR($Y31=ROUND(VALUE(Data!$AF$49),-1),$Y31=ROUND(VALUE(Data!$AG$49),-1)),VALUE($Z$11),0))</f>
        <v/>
      </c>
      <c r="AH31" t="s">
        <v>323</v>
      </c>
      <c r="AI31" t="s">
        <v>77</v>
      </c>
    </row>
    <row r="32" spans="1:39" ht="15.75" thickBot="1" x14ac:dyDescent="0.25">
      <c r="A32" s="48"/>
      <c r="B32" s="31" t="str">
        <f t="shared" ca="1" si="0"/>
        <v/>
      </c>
      <c r="C32" s="29" t="str">
        <f t="shared" ca="1" si="2"/>
        <v>88</v>
      </c>
      <c r="D32" s="29">
        <f t="shared" ca="1" si="8"/>
        <v>2158.1999999999998</v>
      </c>
      <c r="E32" s="29">
        <f t="shared" ca="1" si="8"/>
        <v>2509.46</v>
      </c>
      <c r="F32" s="176">
        <f t="shared" ca="1" si="8"/>
        <v>116.28</v>
      </c>
      <c r="H32" s="29">
        <v>30</v>
      </c>
      <c r="I32">
        <f t="shared" si="3"/>
        <v>201</v>
      </c>
      <c r="J32" s="29">
        <v>1.1080000000000001</v>
      </c>
      <c r="P32" s="76" t="s">
        <v>160</v>
      </c>
      <c r="Q32" s="80" t="s">
        <v>213</v>
      </c>
      <c r="R32" s="78">
        <v>2163.6999999999998</v>
      </c>
      <c r="S32" s="79">
        <v>115.95</v>
      </c>
      <c r="T32" s="78">
        <v>2508.75</v>
      </c>
      <c r="U32" s="80" t="s">
        <v>213</v>
      </c>
      <c r="V32" s="80" t="str">
        <f t="shared" si="4"/>
        <v>87</v>
      </c>
      <c r="W32" t="str">
        <f t="shared" ca="1" si="5"/>
        <v/>
      </c>
      <c r="Y32">
        <v>20</v>
      </c>
      <c r="Z32" s="93" t="e">
        <f>IF(OR($Y32=ROUND(VALUE(Data!$AF$49),-1),$Y32=ROUND(VALUE(Data!$AG$49),-1)),VALUE($Y$12),0)</f>
        <v>#VALUE!</v>
      </c>
      <c r="AA32" s="93" t="e">
        <f>IF(OR($Y32=ROUND(VALUE(Data!$AF$49),-1),$Y32=ROUND(VALUE(Data!$AG$49),-1)),VALUE($Z$12),0)</f>
        <v>#VALUE!</v>
      </c>
      <c r="AB32" s="93" t="str">
        <f>IFERROR(IF(OR($Y32=ROUND(VALUE(Data!$AF$49),-1),$Y32=ROUND(VALUE(Data!$AG$49),-1)),VALUE($Y$11),0),"")</f>
        <v/>
      </c>
      <c r="AC32" s="93" t="str">
        <f>IF($Z$11="","",IF(OR($Y32=ROUND(VALUE(Data!$AF$49),-1),$Y32=ROUND(VALUE(Data!$AG$49),-1)),VALUE($Z$11),0))</f>
        <v/>
      </c>
      <c r="AH32">
        <f ca="1">IF(OR('W &amp; B'!$D$6&lt;140,'W &amp; B'!$C$6="C"),Data!AL19,Data!AL21)</f>
        <v>92.768598130738326</v>
      </c>
      <c r="AI32">
        <f ca="1">$AM$19</f>
        <v>2465.1999999999998</v>
      </c>
    </row>
    <row r="33" spans="1:29" ht="15.75" thickBot="1" x14ac:dyDescent="0.25">
      <c r="A33" s="48"/>
      <c r="B33" s="31" t="str">
        <f t="shared" ca="1" si="0"/>
        <v/>
      </c>
      <c r="C33" s="29" t="str">
        <f t="shared" ca="1" si="2"/>
        <v>89</v>
      </c>
      <c r="D33" s="29">
        <f t="shared" ca="1" si="8"/>
        <v>2157.6999999999998</v>
      </c>
      <c r="E33" s="29">
        <f t="shared" ca="1" si="8"/>
        <v>2511.6799999999998</v>
      </c>
      <c r="F33" s="176">
        <f t="shared" ca="1" si="8"/>
        <v>116.41</v>
      </c>
      <c r="H33" s="29">
        <v>31</v>
      </c>
      <c r="I33">
        <f t="shared" si="3"/>
        <v>207.70000000000002</v>
      </c>
      <c r="J33">
        <f>((($J$32-$J$42)/($I$32-$I$42))*(I33-$I$32))+$J$32</f>
        <v>1.1087</v>
      </c>
      <c r="P33" s="76" t="s">
        <v>160</v>
      </c>
      <c r="Q33" s="80" t="s">
        <v>214</v>
      </c>
      <c r="R33" s="78">
        <v>2158.1999999999998</v>
      </c>
      <c r="S33" s="79">
        <v>116.28</v>
      </c>
      <c r="T33" s="78">
        <v>2509.46</v>
      </c>
      <c r="U33" s="80" t="s">
        <v>214</v>
      </c>
      <c r="V33" s="80" t="str">
        <f t="shared" si="4"/>
        <v>88</v>
      </c>
      <c r="W33" t="str">
        <f t="shared" ca="1" si="5"/>
        <v/>
      </c>
      <c r="Y33">
        <v>30</v>
      </c>
      <c r="Z33" s="93" t="e">
        <f>IF(OR($Y33=ROUND(VALUE(Data!$AF$49),-1),$Y33=ROUND(VALUE(Data!$AG$49),-1)),VALUE($Y$12),0)</f>
        <v>#VALUE!</v>
      </c>
      <c r="AA33" s="93" t="e">
        <f>IF(OR($Y33=ROUND(VALUE(Data!$AF$49),-1),$Y33=ROUND(VALUE(Data!$AG$49),-1)),VALUE($Z$12),0)</f>
        <v>#VALUE!</v>
      </c>
      <c r="AB33" s="93" t="str">
        <f>IFERROR(IF(OR($Y33=ROUND(VALUE(Data!$AF$49),-1),$Y33=ROUND(VALUE(Data!$AG$49),-1)),VALUE($Y$11),0),"")</f>
        <v/>
      </c>
      <c r="AC33" s="93" t="str">
        <f>IF($Z$11="","",IF(OR($Y33=ROUND(VALUE(Data!$AF$49),-1),$Y33=ROUND(VALUE(Data!$AG$49),-1)),VALUE($Z$11),0))</f>
        <v/>
      </c>
    </row>
    <row r="34" spans="1:29" ht="15.75" thickBot="1" x14ac:dyDescent="0.25">
      <c r="A34" s="48"/>
      <c r="B34" s="31" t="str">
        <f t="shared" ca="1" si="0"/>
        <v>++</v>
      </c>
      <c r="C34" s="29" t="str">
        <f t="shared" ca="1" si="2"/>
        <v>90</v>
      </c>
      <c r="D34" s="29">
        <f t="shared" ca="1" si="8"/>
        <v>2166.1999999999998</v>
      </c>
      <c r="E34" s="29">
        <f t="shared" ca="1" si="8"/>
        <v>2499.5300000000002</v>
      </c>
      <c r="F34" s="176">
        <f t="shared" ca="1" si="8"/>
        <v>115.39</v>
      </c>
      <c r="H34" s="29">
        <v>32</v>
      </c>
      <c r="I34">
        <f t="shared" si="3"/>
        <v>214.4</v>
      </c>
      <c r="J34">
        <f t="shared" ref="J34:J41" si="10">((($J$32-$J$42)/($I$32-$I$42))*(I34-$I$32))+$J$32</f>
        <v>1.1094000000000002</v>
      </c>
      <c r="P34" s="76" t="s">
        <v>160</v>
      </c>
      <c r="Q34" s="80" t="s">
        <v>215</v>
      </c>
      <c r="R34" s="78">
        <v>2157.6999999999998</v>
      </c>
      <c r="S34" s="79">
        <v>116.41</v>
      </c>
      <c r="T34" s="78">
        <v>2511.6799999999998</v>
      </c>
      <c r="U34" s="80" t="s">
        <v>215</v>
      </c>
      <c r="V34" s="80" t="str">
        <f t="shared" si="4"/>
        <v>89</v>
      </c>
      <c r="W34" t="str">
        <f t="shared" ca="1" si="5"/>
        <v/>
      </c>
      <c r="Y34">
        <v>40</v>
      </c>
      <c r="Z34" s="93" t="e">
        <f>IF(OR($Y34=ROUND(VALUE(Data!$AF$49),-1),$Y34=ROUND(VALUE(Data!$AG$49),-1)),VALUE($Y$12),0)</f>
        <v>#VALUE!</v>
      </c>
      <c r="AA34" s="93" t="e">
        <f>IF(OR($Y34=ROUND(VALUE(Data!$AF$49),-1),$Y34=ROUND(VALUE(Data!$AG$49),-1)),VALUE($Z$12),0)</f>
        <v>#VALUE!</v>
      </c>
      <c r="AB34" s="93" t="str">
        <f>IFERROR(IF(OR($Y34=ROUND(VALUE(Data!$AF$49),-1),$Y34=ROUND(VALUE(Data!$AG$49),-1)),VALUE($Y$11),0),"")</f>
        <v/>
      </c>
      <c r="AC34" s="93" t="str">
        <f>IF($Z$11="","",IF(OR($Y34=ROUND(VALUE(Data!$AF$49),-1),$Y34=ROUND(VALUE(Data!$AG$49),-1)),VALUE($Z$11),0))</f>
        <v/>
      </c>
    </row>
    <row r="35" spans="1:29" ht="15.75" thickBot="1" x14ac:dyDescent="0.25">
      <c r="A35" s="48"/>
      <c r="B35" s="31" t="str">
        <f t="shared" ref="B35:B66" ca="1" si="11">IF(D35=MAX($D$3:$D$74),$H$114,IF(F35=MAX($F$3:$F$74),$H$116,IF(F35=MIN($F$3:$F$74),$H$115,"")))</f>
        <v/>
      </c>
      <c r="C35" s="29" t="str">
        <f t="shared" ca="1" si="2"/>
        <v>93</v>
      </c>
      <c r="D35" s="29">
        <f t="shared" ca="1" si="8"/>
        <v>2150.1999999999998</v>
      </c>
      <c r="E35" s="29">
        <f t="shared" ca="1" si="8"/>
        <v>2503.1799999999998</v>
      </c>
      <c r="F35" s="176">
        <f t="shared" ca="1" si="8"/>
        <v>116.42</v>
      </c>
      <c r="H35" s="29">
        <v>33</v>
      </c>
      <c r="I35">
        <f t="shared" si="3"/>
        <v>221.1</v>
      </c>
      <c r="J35">
        <f t="shared" si="10"/>
        <v>1.1101000000000001</v>
      </c>
      <c r="P35" s="76" t="s">
        <v>160</v>
      </c>
      <c r="Q35" s="80" t="s">
        <v>216</v>
      </c>
      <c r="R35" s="78">
        <v>2166.1999999999998</v>
      </c>
      <c r="S35" s="79">
        <v>115.39</v>
      </c>
      <c r="T35" s="78">
        <v>2499.5300000000002</v>
      </c>
      <c r="U35" s="80" t="s">
        <v>216</v>
      </c>
      <c r="V35" s="80" t="str">
        <f t="shared" si="4"/>
        <v>90</v>
      </c>
      <c r="W35" t="str">
        <f t="shared" ca="1" si="5"/>
        <v>++</v>
      </c>
      <c r="Y35">
        <v>50</v>
      </c>
      <c r="Z35" s="93" t="e">
        <f>IF(OR($Y35=ROUND(VALUE(Data!$AF$49),-1),$Y35=ROUND(VALUE(Data!$AG$49),-1)),VALUE($Y$12),0)</f>
        <v>#VALUE!</v>
      </c>
      <c r="AA35" s="93" t="e">
        <f>IF(OR($Y35=ROUND(VALUE(Data!$AF$49),-1),$Y35=ROUND(VALUE(Data!$AG$49),-1)),VALUE($Z$12),0)</f>
        <v>#VALUE!</v>
      </c>
      <c r="AB35" s="93" t="str">
        <f>IFERROR(IF(OR($Y35=ROUND(VALUE(Data!$AF$49),-1),$Y35=ROUND(VALUE(Data!$AG$49),-1)),VALUE($Y$11),0),"")</f>
        <v/>
      </c>
      <c r="AC35" s="93" t="str">
        <f>IF($Z$11="","",IF(OR($Y35=ROUND(VALUE(Data!$AF$49),-1),$Y35=ROUND(VALUE(Data!$AG$49),-1)),VALUE($Z$11),0))</f>
        <v/>
      </c>
    </row>
    <row r="36" spans="1:29" ht="15.75" thickBot="1" x14ac:dyDescent="0.25">
      <c r="A36" s="48"/>
      <c r="B36" s="31" t="str">
        <f t="shared" ca="1" si="11"/>
        <v/>
      </c>
      <c r="C36" s="29" t="str">
        <f t="shared" ca="1" si="2"/>
        <v>94</v>
      </c>
      <c r="D36" s="29">
        <f t="shared" ca="1" si="8"/>
        <v>2155.3000000000002</v>
      </c>
      <c r="E36" s="29">
        <f t="shared" ca="1" si="8"/>
        <v>2510.0500000000002</v>
      </c>
      <c r="F36" s="176">
        <f t="shared" ca="1" si="8"/>
        <v>116.46</v>
      </c>
      <c r="H36" s="29">
        <v>34</v>
      </c>
      <c r="I36">
        <f t="shared" si="3"/>
        <v>227.8</v>
      </c>
      <c r="J36">
        <f t="shared" si="10"/>
        <v>1.1108</v>
      </c>
      <c r="P36" s="76" t="s">
        <v>160</v>
      </c>
      <c r="Q36" s="80" t="s">
        <v>217</v>
      </c>
      <c r="R36" s="78">
        <v>2150.1999999999998</v>
      </c>
      <c r="S36" s="79">
        <v>116.42</v>
      </c>
      <c r="T36" s="78">
        <v>2503.1799999999998</v>
      </c>
      <c r="U36" s="80" t="s">
        <v>217</v>
      </c>
      <c r="V36" s="80" t="str">
        <f t="shared" si="4"/>
        <v>93</v>
      </c>
      <c r="W36" t="str">
        <f t="shared" ca="1" si="5"/>
        <v/>
      </c>
      <c r="Y36">
        <v>60</v>
      </c>
      <c r="Z36" s="93" t="e">
        <f>IF(OR($Y36=ROUND(VALUE(Data!$AF$49),-1),$Y36=ROUND(VALUE(Data!$AG$49),-1)),VALUE($Y$12),0)</f>
        <v>#VALUE!</v>
      </c>
      <c r="AA36" s="93" t="e">
        <f>IF(OR($Y36=ROUND(VALUE(Data!$AF$49),-1),$Y36=ROUND(VALUE(Data!$AG$49),-1)),VALUE($Z$12),0)</f>
        <v>#VALUE!</v>
      </c>
      <c r="AB36" s="93" t="str">
        <f>IFERROR(IF(OR($Y36=ROUND(VALUE(Data!$AF$49),-1),$Y36=ROUND(VALUE(Data!$AG$49),-1)),VALUE($Y$11),0),"")</f>
        <v/>
      </c>
      <c r="AC36" s="93" t="str">
        <f>IF($Z$11="","",IF(OR($Y36=ROUND(VALUE(Data!$AF$49),-1),$Y36=ROUND(VALUE(Data!$AG$49),-1)),VALUE($Z$11),0))</f>
        <v/>
      </c>
    </row>
    <row r="37" spans="1:29" ht="15.75" thickBot="1" x14ac:dyDescent="0.25">
      <c r="A37" s="48"/>
      <c r="B37" s="31" t="str">
        <f t="shared" ca="1" si="11"/>
        <v/>
      </c>
      <c r="C37" s="29" t="str">
        <f t="shared" ca="1" si="2"/>
        <v>95</v>
      </c>
      <c r="D37" s="29">
        <f t="shared" ca="1" si="8"/>
        <v>2167.6</v>
      </c>
      <c r="E37" s="29">
        <f t="shared" ca="1" si="8"/>
        <v>2515.27</v>
      </c>
      <c r="F37" s="176">
        <f t="shared" ca="1" si="8"/>
        <v>116.04</v>
      </c>
      <c r="H37" s="29">
        <v>35</v>
      </c>
      <c r="I37">
        <f t="shared" si="3"/>
        <v>234.5</v>
      </c>
      <c r="J37">
        <f t="shared" si="10"/>
        <v>1.1114999999999999</v>
      </c>
      <c r="P37" s="76" t="s">
        <v>160</v>
      </c>
      <c r="Q37" s="80" t="s">
        <v>218</v>
      </c>
      <c r="R37" s="78">
        <v>2155.3000000000002</v>
      </c>
      <c r="S37" s="79">
        <v>116.46</v>
      </c>
      <c r="T37" s="78">
        <v>2510.0500000000002</v>
      </c>
      <c r="U37" s="80" t="s">
        <v>218</v>
      </c>
      <c r="V37" s="80" t="str">
        <f t="shared" si="4"/>
        <v>94</v>
      </c>
      <c r="W37" t="str">
        <f t="shared" ca="1" si="5"/>
        <v/>
      </c>
      <c r="Y37">
        <v>70</v>
      </c>
      <c r="Z37" s="93" t="e">
        <f>IF(OR($Y37=ROUND(VALUE(Data!$AF$49),-1),$Y37=ROUND(VALUE(Data!$AG$49),-1)),VALUE($Y$12),0)</f>
        <v>#VALUE!</v>
      </c>
      <c r="AA37" s="93" t="e">
        <f>IF(OR($Y37=ROUND(VALUE(Data!$AF$49),-1),$Y37=ROUND(VALUE(Data!$AG$49),-1)),VALUE($Z$12),0)</f>
        <v>#VALUE!</v>
      </c>
      <c r="AB37" s="93" t="str">
        <f>IFERROR(IF(OR($Y37=ROUND(VALUE(Data!$AF$49),-1),$Y37=ROUND(VALUE(Data!$AG$49),-1)),VALUE($Y$11),0),"")</f>
        <v/>
      </c>
      <c r="AC37" s="93" t="str">
        <f>IF($Z$11="","",IF(OR($Y37=ROUND(VALUE(Data!$AF$49),-1),$Y37=ROUND(VALUE(Data!$AG$49),-1)),VALUE($Z$11),0))</f>
        <v/>
      </c>
    </row>
    <row r="38" spans="1:29" ht="15.75" thickBot="1" x14ac:dyDescent="0.25">
      <c r="A38" s="48"/>
      <c r="B38" s="31" t="str">
        <f t="shared" ca="1" si="11"/>
        <v/>
      </c>
      <c r="C38" s="29" t="str">
        <f t="shared" ca="1" si="2"/>
        <v>96</v>
      </c>
      <c r="D38" s="29">
        <f t="shared" ca="1" si="8"/>
        <v>2163</v>
      </c>
      <c r="E38" s="29">
        <f t="shared" ca="1" si="8"/>
        <v>2514.94</v>
      </c>
      <c r="F38" s="176">
        <f t="shared" ca="1" si="8"/>
        <v>116.27</v>
      </c>
      <c r="H38" s="29">
        <v>36</v>
      </c>
      <c r="I38">
        <f t="shared" si="3"/>
        <v>241.20000000000002</v>
      </c>
      <c r="J38">
        <f t="shared" si="10"/>
        <v>1.1122000000000001</v>
      </c>
      <c r="P38" s="76" t="s">
        <v>160</v>
      </c>
      <c r="Q38" s="80" t="s">
        <v>219</v>
      </c>
      <c r="R38" s="78">
        <v>2167.6</v>
      </c>
      <c r="S38" s="79">
        <v>116.04</v>
      </c>
      <c r="T38" s="78">
        <v>2515.27</v>
      </c>
      <c r="U38" s="80" t="s">
        <v>219</v>
      </c>
      <c r="V38" s="80" t="str">
        <f t="shared" si="4"/>
        <v>95</v>
      </c>
      <c r="W38" t="str">
        <f t="shared" ca="1" si="5"/>
        <v/>
      </c>
      <c r="Y38">
        <v>80</v>
      </c>
      <c r="Z38" s="93" t="e">
        <f>IF(OR($Y38=ROUND(VALUE(Data!$AF$49),-1),$Y38=ROUND(VALUE(Data!$AG$49),-1)),VALUE($Y$12),0)</f>
        <v>#VALUE!</v>
      </c>
      <c r="AA38" s="93" t="e">
        <f>IF(OR($Y38=ROUND(VALUE(Data!$AF$49),-1),$Y38=ROUND(VALUE(Data!$AG$49),-1)),VALUE($Z$12),0)</f>
        <v>#VALUE!</v>
      </c>
      <c r="AB38" s="93" t="str">
        <f>IFERROR(IF(OR($Y38=ROUND(VALUE(Data!$AF$49),-1),$Y38=ROUND(VALUE(Data!$AG$49),-1)),VALUE($Y$11),0),"")</f>
        <v/>
      </c>
      <c r="AC38" s="93" t="str">
        <f>IF($Z$11="","",IF(OR($Y38=ROUND(VALUE(Data!$AF$49),-1),$Y38=ROUND(VALUE(Data!$AG$49),-1)),VALUE($Z$11),0))</f>
        <v/>
      </c>
    </row>
    <row r="39" spans="1:29" ht="15.75" thickBot="1" x14ac:dyDescent="0.25">
      <c r="A39" s="48"/>
      <c r="B39" s="31" t="str">
        <f t="shared" ca="1" si="11"/>
        <v/>
      </c>
      <c r="C39" s="29" t="str">
        <f t="shared" ca="1" si="2"/>
        <v>97</v>
      </c>
      <c r="D39" s="29">
        <f t="shared" ca="1" si="8"/>
        <v>2148.1999999999998</v>
      </c>
      <c r="E39" s="29">
        <f t="shared" ca="1" si="8"/>
        <v>2491.4699999999998</v>
      </c>
      <c r="F39" s="176">
        <f t="shared" ca="1" si="8"/>
        <v>115.98</v>
      </c>
      <c r="H39" s="29">
        <v>37</v>
      </c>
      <c r="I39">
        <f t="shared" si="3"/>
        <v>247.9</v>
      </c>
      <c r="J39">
        <f t="shared" si="10"/>
        <v>1.1129</v>
      </c>
      <c r="P39" s="76" t="s">
        <v>160</v>
      </c>
      <c r="Q39" s="80" t="s">
        <v>220</v>
      </c>
      <c r="R39" s="78">
        <v>2163</v>
      </c>
      <c r="S39" s="79">
        <v>116.27</v>
      </c>
      <c r="T39" s="78">
        <v>2514.94</v>
      </c>
      <c r="U39" s="80" t="s">
        <v>220</v>
      </c>
      <c r="V39" s="80" t="str">
        <f t="shared" si="4"/>
        <v>96</v>
      </c>
      <c r="W39" t="str">
        <f t="shared" ca="1" si="5"/>
        <v/>
      </c>
      <c r="Y39">
        <v>90</v>
      </c>
      <c r="Z39" s="93" t="e">
        <f>IF(OR($Y39=ROUND(VALUE(Data!$AF$49),-1),$Y39=ROUND(VALUE(Data!$AG$49),-1)),VALUE($Y$12),0)</f>
        <v>#VALUE!</v>
      </c>
      <c r="AA39" s="93" t="e">
        <f>IF(OR($Y39=ROUND(VALUE(Data!$AF$49),-1),$Y39=ROUND(VALUE(Data!$AG$49),-1)),VALUE($Z$12),0)</f>
        <v>#VALUE!</v>
      </c>
      <c r="AB39" s="93" t="str">
        <f>IFERROR(IF(OR($Y39=ROUND(VALUE(Data!$AF$49),-1),$Y39=ROUND(VALUE(Data!$AG$49),-1)),VALUE($Y$11),0),"")</f>
        <v/>
      </c>
      <c r="AC39" s="93" t="str">
        <f>IF($Z$11="","",IF(OR($Y39=ROUND(VALUE(Data!$AF$49),-1),$Y39=ROUND(VALUE(Data!$AG$49),-1)),VALUE($Z$11),0))</f>
        <v/>
      </c>
    </row>
    <row r="40" spans="1:29" ht="15.75" thickBot="1" x14ac:dyDescent="0.25">
      <c r="A40" s="48"/>
      <c r="B40" s="31" t="str">
        <f t="shared" ca="1" si="11"/>
        <v/>
      </c>
      <c r="C40" s="29" t="str">
        <f t="shared" ca="1" si="2"/>
        <v>98</v>
      </c>
      <c r="D40" s="29">
        <f t="shared" ca="1" si="8"/>
        <v>2152.6999999999998</v>
      </c>
      <c r="E40" s="29">
        <f t="shared" ca="1" si="8"/>
        <v>2495.1999999999998</v>
      </c>
      <c r="F40" s="176">
        <f t="shared" ca="1" si="8"/>
        <v>115.91</v>
      </c>
      <c r="H40" s="29">
        <v>38</v>
      </c>
      <c r="I40">
        <f t="shared" si="3"/>
        <v>254.6</v>
      </c>
      <c r="J40">
        <f t="shared" si="10"/>
        <v>1.1135999999999999</v>
      </c>
      <c r="P40" s="76" t="s">
        <v>160</v>
      </c>
      <c r="Q40" s="80" t="s">
        <v>221</v>
      </c>
      <c r="R40" s="78">
        <v>2148.1999999999998</v>
      </c>
      <c r="S40" s="79">
        <v>115.98</v>
      </c>
      <c r="T40" s="78">
        <v>2491.4699999999998</v>
      </c>
      <c r="U40" s="80" t="s">
        <v>221</v>
      </c>
      <c r="V40" s="80" t="str">
        <f t="shared" si="4"/>
        <v>97</v>
      </c>
      <c r="W40" t="str">
        <f t="shared" ca="1" si="5"/>
        <v/>
      </c>
      <c r="Y40">
        <v>100</v>
      </c>
      <c r="Z40" s="93" t="e">
        <f>IF(OR($Y40=ROUND(VALUE(Data!$AF$49),-1),$Y40=ROUND(VALUE(Data!$AG$49),-1)),VALUE($Y$12),0)</f>
        <v>#VALUE!</v>
      </c>
      <c r="AA40" s="93" t="e">
        <f>IF(OR($Y40=ROUND(VALUE(Data!$AF$49),-1),$Y40=ROUND(VALUE(Data!$AG$49),-1)),VALUE($Z$12),0)</f>
        <v>#VALUE!</v>
      </c>
      <c r="AB40" s="93" t="str">
        <f>IFERROR(IF(OR($Y40=ROUND(VALUE(Data!$AF$49),-1),$Y40=ROUND(VALUE(Data!$AG$49),-1)),VALUE($Y$11),0),"")</f>
        <v/>
      </c>
      <c r="AC40" s="93" t="str">
        <f>IF($Z$11="","",IF(OR($Y40=ROUND(VALUE(Data!$AF$49),-1),$Y40=ROUND(VALUE(Data!$AG$49),-1)),VALUE($Z$11),0))</f>
        <v/>
      </c>
    </row>
    <row r="41" spans="1:29" ht="15.75" thickBot="1" x14ac:dyDescent="0.25">
      <c r="A41" s="48"/>
      <c r="B41" s="31" t="str">
        <f t="shared" ca="1" si="11"/>
        <v/>
      </c>
      <c r="C41" s="29" t="str">
        <f t="shared" ca="1" si="2"/>
        <v>99</v>
      </c>
      <c r="D41" s="29">
        <f t="shared" ca="1" si="8"/>
        <v>2154.6999999999998</v>
      </c>
      <c r="E41" s="29">
        <f t="shared" ca="1" si="8"/>
        <v>2508.7800000000002</v>
      </c>
      <c r="F41" s="176">
        <f t="shared" ca="1" si="8"/>
        <v>116.43</v>
      </c>
      <c r="H41" s="29">
        <v>39</v>
      </c>
      <c r="I41">
        <f t="shared" si="3"/>
        <v>261.3</v>
      </c>
      <c r="J41">
        <f t="shared" si="10"/>
        <v>1.1143000000000001</v>
      </c>
      <c r="P41" s="76" t="s">
        <v>160</v>
      </c>
      <c r="Q41" s="80" t="s">
        <v>222</v>
      </c>
      <c r="R41" s="78">
        <v>2152.6999999999998</v>
      </c>
      <c r="S41" s="79">
        <v>115.91</v>
      </c>
      <c r="T41" s="78">
        <v>2495.1999999999998</v>
      </c>
      <c r="U41" s="80" t="s">
        <v>222</v>
      </c>
      <c r="V41" s="80" t="str">
        <f t="shared" si="4"/>
        <v>98</v>
      </c>
      <c r="W41" t="str">
        <f t="shared" ca="1" si="5"/>
        <v/>
      </c>
      <c r="Y41">
        <v>110</v>
      </c>
      <c r="Z41" s="93" t="e">
        <f>IF(OR($Y41=ROUND(VALUE(Data!$AF$49),-1),$Y41=ROUND(VALUE(Data!$AG$49),-1)),VALUE($Y$12),0)</f>
        <v>#VALUE!</v>
      </c>
      <c r="AA41" s="93" t="e">
        <f>IF(OR($Y41=ROUND(VALUE(Data!$AF$49),-1),$Y41=ROUND(VALUE(Data!$AG$49),-1)),VALUE($Z$12),0)</f>
        <v>#VALUE!</v>
      </c>
      <c r="AB41" s="93" t="str">
        <f>IFERROR(IF(OR($Y41=ROUND(VALUE(Data!$AF$49),-1),$Y41=ROUND(VALUE(Data!$AG$49),-1)),VALUE($Y$11),0),"")</f>
        <v/>
      </c>
      <c r="AC41" s="93" t="str">
        <f>IF($Z$11="","",IF(OR($Y41=ROUND(VALUE(Data!$AF$49),-1),$Y41=ROUND(VALUE(Data!$AG$49),-1)),VALUE($Z$11),0))</f>
        <v/>
      </c>
    </row>
    <row r="42" spans="1:29" ht="15.75" thickBot="1" x14ac:dyDescent="0.25">
      <c r="A42" s="48"/>
      <c r="B42" s="31" t="str">
        <f t="shared" ca="1" si="11"/>
        <v/>
      </c>
      <c r="C42" s="29" t="str">
        <f t="shared" ca="1" si="2"/>
        <v>100</v>
      </c>
      <c r="D42" s="29">
        <f t="shared" ca="1" si="8"/>
        <v>2151.6999999999998</v>
      </c>
      <c r="E42" s="29">
        <f t="shared" ca="1" si="8"/>
        <v>2504</v>
      </c>
      <c r="F42" s="176">
        <f t="shared" ca="1" si="8"/>
        <v>116.37</v>
      </c>
      <c r="H42" s="29">
        <v>40</v>
      </c>
      <c r="I42">
        <f t="shared" si="3"/>
        <v>268</v>
      </c>
      <c r="J42" s="29">
        <v>1.115</v>
      </c>
      <c r="P42" s="76" t="s">
        <v>160</v>
      </c>
      <c r="Q42" s="80" t="s">
        <v>223</v>
      </c>
      <c r="R42" s="78">
        <v>2154.6999999999998</v>
      </c>
      <c r="S42" s="79">
        <v>116.43</v>
      </c>
      <c r="T42" s="78">
        <v>2508.7800000000002</v>
      </c>
      <c r="U42" s="80" t="s">
        <v>223</v>
      </c>
      <c r="V42" s="80" t="str">
        <f t="shared" si="4"/>
        <v>99</v>
      </c>
      <c r="W42" t="str">
        <f t="shared" ca="1" si="5"/>
        <v/>
      </c>
      <c r="Y42">
        <v>120</v>
      </c>
      <c r="Z42" s="93" t="e">
        <f>IF(OR($Y42=ROUND(VALUE(Data!$AF$49),-1),$Y42=ROUND(VALUE(Data!$AG$49),-1)),VALUE($Y$12),0)</f>
        <v>#VALUE!</v>
      </c>
      <c r="AA42" s="93" t="e">
        <f>IF(OR($Y42=ROUND(VALUE(Data!$AF$49),-1),$Y42=ROUND(VALUE(Data!$AG$49),-1)),VALUE($Z$12),0)</f>
        <v>#VALUE!</v>
      </c>
      <c r="AB42" s="93" t="str">
        <f>IFERROR(IF(OR($Y42=ROUND(VALUE(Data!$AF$49),-1),$Y42=ROUND(VALUE(Data!$AG$49),-1)),VALUE($Y$11),0),"")</f>
        <v/>
      </c>
      <c r="AC42" s="93" t="str">
        <f>IF($Z$11="","",IF(OR($Y42=ROUND(VALUE(Data!$AF$49),-1),$Y42=ROUND(VALUE(Data!$AG$49),-1)),VALUE($Z$11),0))</f>
        <v/>
      </c>
    </row>
    <row r="43" spans="1:29" ht="15.75" thickBot="1" x14ac:dyDescent="0.25">
      <c r="A43" s="48"/>
      <c r="B43" s="31" t="str">
        <f t="shared" ca="1" si="11"/>
        <v/>
      </c>
      <c r="C43" s="29" t="str">
        <f t="shared" ca="1" si="2"/>
        <v>101</v>
      </c>
      <c r="D43" s="29">
        <f t="shared" ref="D43:F62" ca="1" si="12">IFERROR(INDEX($P$3:$V$116,MATCH($C43,$V$3:$V$116,0),MATCH(D$2,$P$3:$V$3,0)),"")</f>
        <v>2131.1999999999998</v>
      </c>
      <c r="E43" s="29">
        <f t="shared" ca="1" si="12"/>
        <v>2479.6</v>
      </c>
      <c r="F43" s="176">
        <f t="shared" ca="1" si="12"/>
        <v>116.35</v>
      </c>
      <c r="H43" s="29">
        <v>41</v>
      </c>
      <c r="I43">
        <f t="shared" si="3"/>
        <v>274.7</v>
      </c>
      <c r="J43">
        <f>((($J$42-$J$52)/($I$42-$I$52))*(I43-$I$42))+$J$42</f>
        <v>1.1173</v>
      </c>
      <c r="P43" s="76" t="s">
        <v>160</v>
      </c>
      <c r="Q43" s="80" t="s">
        <v>224</v>
      </c>
      <c r="R43" s="78">
        <v>2151.6999999999998</v>
      </c>
      <c r="S43" s="79">
        <v>116.37</v>
      </c>
      <c r="T43" s="78">
        <v>2504</v>
      </c>
      <c r="U43" s="80" t="s">
        <v>224</v>
      </c>
      <c r="V43" s="80" t="str">
        <f t="shared" si="4"/>
        <v>100</v>
      </c>
      <c r="W43" t="str">
        <f t="shared" ca="1" si="5"/>
        <v/>
      </c>
      <c r="Y43">
        <v>130</v>
      </c>
      <c r="Z43" s="93" t="e">
        <f>IF(OR($Y43=ROUND(VALUE(Data!$AF$49),-1),$Y43=ROUND(VALUE(Data!$AG$49),-1)),VALUE($Y$12),0)</f>
        <v>#VALUE!</v>
      </c>
      <c r="AA43" s="93" t="e">
        <f>IF(OR($Y43=ROUND(VALUE(Data!$AF$49),-1),$Y43=ROUND(VALUE(Data!$AG$49),-1)),VALUE($Z$12),0)</f>
        <v>#VALUE!</v>
      </c>
      <c r="AB43" s="93" t="str">
        <f>IFERROR(IF(OR($Y43=ROUND(VALUE(Data!$AF$49),-1),$Y43=ROUND(VALUE(Data!$AG$49),-1)),VALUE($Y$11),0),"")</f>
        <v/>
      </c>
      <c r="AC43" s="93" t="str">
        <f>IF($Z$11="","",IF(OR($Y43=ROUND(VALUE(Data!$AF$49),-1),$Y43=ROUND(VALUE(Data!$AG$49),-1)),VALUE($Z$11),0))</f>
        <v/>
      </c>
    </row>
    <row r="44" spans="1:29" ht="15.75" thickBot="1" x14ac:dyDescent="0.25">
      <c r="A44" s="48"/>
      <c r="B44" s="31" t="str">
        <f t="shared" ca="1" si="11"/>
        <v/>
      </c>
      <c r="C44" s="29" t="str">
        <f t="shared" ca="1" si="2"/>
        <v>102</v>
      </c>
      <c r="D44" s="29">
        <f t="shared" ca="1" si="12"/>
        <v>2153.1999999999998</v>
      </c>
      <c r="E44" s="29">
        <f t="shared" ca="1" si="12"/>
        <v>2503.58</v>
      </c>
      <c r="F44" s="176">
        <f t="shared" ca="1" si="12"/>
        <v>116.27</v>
      </c>
      <c r="H44" s="29">
        <v>42</v>
      </c>
      <c r="I44">
        <f t="shared" si="3"/>
        <v>281.40000000000003</v>
      </c>
      <c r="J44">
        <f t="shared" ref="J44:J51" si="13">((($J$42-$J$52)/($I$42-$I$52))*(I44-$I$42))+$J$42</f>
        <v>1.1195999999999999</v>
      </c>
      <c r="P44" s="76" t="s">
        <v>160</v>
      </c>
      <c r="Q44" s="80" t="s">
        <v>225</v>
      </c>
      <c r="R44" s="78">
        <v>2131.1999999999998</v>
      </c>
      <c r="S44" s="79">
        <v>116.35</v>
      </c>
      <c r="T44" s="78">
        <v>2479.6</v>
      </c>
      <c r="U44" s="80" t="s">
        <v>225</v>
      </c>
      <c r="V44" s="80" t="str">
        <f t="shared" si="4"/>
        <v>101</v>
      </c>
      <c r="W44" t="str">
        <f t="shared" ca="1" si="5"/>
        <v/>
      </c>
      <c r="Y44">
        <v>140</v>
      </c>
      <c r="Z44" s="93" t="e">
        <f>IF(OR($Y44=ROUND(VALUE(Data!$AF$49),-1),$Y44=ROUND(VALUE(Data!$AG$49),-1)),VALUE($Y$12),0)</f>
        <v>#VALUE!</v>
      </c>
      <c r="AA44" s="93" t="e">
        <f>IF(OR($Y44=ROUND(VALUE(Data!$AF$49),-1),$Y44=ROUND(VALUE(Data!$AG$49),-1)),VALUE($Z$12),0)</f>
        <v>#VALUE!</v>
      </c>
      <c r="AB44" s="93" t="str">
        <f>IFERROR(IF(OR($Y44=ROUND(VALUE(Data!$AF$49),-1),$Y44=ROUND(VALUE(Data!$AG$49),-1)),VALUE($Y$11),0),"")</f>
        <v/>
      </c>
      <c r="AC44" s="93" t="str">
        <f>IF($Z$11="","",IF(OR($Y44=ROUND(VALUE(Data!$AF$49),-1),$Y44=ROUND(VALUE(Data!$AG$49),-1)),VALUE($Z$11),0))</f>
        <v/>
      </c>
    </row>
    <row r="45" spans="1:29" ht="15.75" thickBot="1" x14ac:dyDescent="0.25">
      <c r="A45" s="48"/>
      <c r="B45" s="31" t="str">
        <f t="shared" ca="1" si="11"/>
        <v/>
      </c>
      <c r="C45" s="29" t="str">
        <f t="shared" ca="1" si="2"/>
        <v>103</v>
      </c>
      <c r="D45" s="29">
        <f t="shared" ca="1" si="12"/>
        <v>2152.1999999999998</v>
      </c>
      <c r="E45" s="29">
        <f t="shared" ca="1" si="12"/>
        <v>2508.65</v>
      </c>
      <c r="F45" s="176">
        <f t="shared" ca="1" si="12"/>
        <v>116.56</v>
      </c>
      <c r="H45" s="29">
        <v>43</v>
      </c>
      <c r="I45">
        <f t="shared" si="3"/>
        <v>288.10000000000002</v>
      </c>
      <c r="J45">
        <f t="shared" si="13"/>
        <v>1.1218999999999999</v>
      </c>
      <c r="P45" s="76" t="s">
        <v>160</v>
      </c>
      <c r="Q45" s="80" t="s">
        <v>226</v>
      </c>
      <c r="R45" s="78">
        <v>2153.1999999999998</v>
      </c>
      <c r="S45" s="79">
        <v>116.27</v>
      </c>
      <c r="T45" s="78">
        <v>2503.58</v>
      </c>
      <c r="U45" s="80" t="s">
        <v>226</v>
      </c>
      <c r="V45" s="80" t="str">
        <f t="shared" si="4"/>
        <v>102</v>
      </c>
      <c r="W45" t="str">
        <f t="shared" ca="1" si="5"/>
        <v/>
      </c>
      <c r="Y45">
        <v>150</v>
      </c>
      <c r="Z45" s="93" t="e">
        <f>IF(OR($Y45=ROUND(VALUE(Data!$AF$49),-1),$Y45=ROUND(VALUE(Data!$AG$49),-1)),VALUE($Y$12),0)</f>
        <v>#VALUE!</v>
      </c>
      <c r="AA45" s="93" t="e">
        <f>IF(OR($Y45=ROUND(VALUE(Data!$AF$49),-1),$Y45=ROUND(VALUE(Data!$AG$49),-1)),VALUE($Z$12),0)</f>
        <v>#VALUE!</v>
      </c>
      <c r="AB45" s="93" t="str">
        <f>IFERROR(IF(OR($Y45=ROUND(VALUE(Data!$AF$49),-1),$Y45=ROUND(VALUE(Data!$AG$49),-1)),VALUE($Y$11),0),"")</f>
        <v/>
      </c>
      <c r="AC45" s="93" t="str">
        <f>IF($Z$11="","",IF(OR($Y45=ROUND(VALUE(Data!$AF$49),-1),$Y45=ROUND(VALUE(Data!$AG$49),-1)),VALUE($Z$11),0))</f>
        <v/>
      </c>
    </row>
    <row r="46" spans="1:29" ht="15.75" thickBot="1" x14ac:dyDescent="0.25">
      <c r="A46" s="48"/>
      <c r="B46" s="31" t="str">
        <f t="shared" ca="1" si="11"/>
        <v/>
      </c>
      <c r="C46" s="29" t="str">
        <f t="shared" ca="1" si="2"/>
        <v>104</v>
      </c>
      <c r="D46" s="29">
        <f t="shared" ca="1" si="12"/>
        <v>2154.3000000000002</v>
      </c>
      <c r="E46" s="29">
        <f t="shared" ca="1" si="12"/>
        <v>2502.21</v>
      </c>
      <c r="F46" s="176">
        <f t="shared" ca="1" si="12"/>
        <v>116.15</v>
      </c>
      <c r="H46" s="29">
        <v>44</v>
      </c>
      <c r="I46">
        <f t="shared" si="3"/>
        <v>294.8</v>
      </c>
      <c r="J46">
        <f t="shared" si="13"/>
        <v>1.1241999999999999</v>
      </c>
      <c r="P46" s="76" t="s">
        <v>160</v>
      </c>
      <c r="Q46" s="80" t="s">
        <v>227</v>
      </c>
      <c r="R46" s="78">
        <v>2152.1999999999998</v>
      </c>
      <c r="S46" s="79">
        <v>116.56</v>
      </c>
      <c r="T46" s="78">
        <v>2508.65</v>
      </c>
      <c r="U46" s="80" t="s">
        <v>227</v>
      </c>
      <c r="V46" s="80" t="str">
        <f t="shared" si="4"/>
        <v>103</v>
      </c>
      <c r="W46" t="str">
        <f t="shared" ca="1" si="5"/>
        <v/>
      </c>
      <c r="Y46">
        <v>160</v>
      </c>
      <c r="Z46" s="93" t="e">
        <f>IF(OR($Y46=ROUND(VALUE(Data!$AF$49),-1),$Y46=ROUND(VALUE(Data!$AG$49),-1)),VALUE($Y$12),0)</f>
        <v>#VALUE!</v>
      </c>
      <c r="AA46" s="93" t="e">
        <f>IF(OR($Y46=ROUND(VALUE(Data!$AF$49),-1),$Y46=ROUND(VALUE(Data!$AG$49),-1)),VALUE($Z$12),0)</f>
        <v>#VALUE!</v>
      </c>
      <c r="AB46" s="93" t="str">
        <f>IFERROR(IF(OR($Y46=ROUND(VALUE(Data!$AF$49),-1),$Y46=ROUND(VALUE(Data!$AG$49),-1)),VALUE($Y$11),0),"")</f>
        <v/>
      </c>
      <c r="AC46" s="93" t="str">
        <f>IF($Z$11="","",IF(OR($Y46=ROUND(VALUE(Data!$AF$49),-1),$Y46=ROUND(VALUE(Data!$AG$49),-1)),VALUE($Z$11),0))</f>
        <v/>
      </c>
    </row>
    <row r="47" spans="1:29" ht="15.75" thickBot="1" x14ac:dyDescent="0.25">
      <c r="A47" s="48"/>
      <c r="B47" s="31" t="str">
        <f t="shared" ca="1" si="11"/>
        <v/>
      </c>
      <c r="C47" s="29" t="str">
        <f t="shared" ca="1" si="2"/>
        <v>106</v>
      </c>
      <c r="D47" s="29">
        <f t="shared" ca="1" si="12"/>
        <v>2156.1999999999998</v>
      </c>
      <c r="E47" s="29">
        <f t="shared" ca="1" si="12"/>
        <v>2518.96</v>
      </c>
      <c r="F47" s="176">
        <f t="shared" ca="1" si="12"/>
        <v>116.82</v>
      </c>
      <c r="H47" s="29">
        <v>45</v>
      </c>
      <c r="I47">
        <f t="shared" si="3"/>
        <v>301.5</v>
      </c>
      <c r="J47">
        <f t="shared" si="13"/>
        <v>1.1265000000000001</v>
      </c>
      <c r="P47" s="76" t="s">
        <v>160</v>
      </c>
      <c r="Q47" s="80" t="s">
        <v>228</v>
      </c>
      <c r="R47" s="78">
        <v>2154.3000000000002</v>
      </c>
      <c r="S47" s="79">
        <v>116.15</v>
      </c>
      <c r="T47" s="78">
        <v>2502.21</v>
      </c>
      <c r="U47" s="80" t="s">
        <v>228</v>
      </c>
      <c r="V47" s="80" t="str">
        <f t="shared" si="4"/>
        <v>104</v>
      </c>
      <c r="W47" t="str">
        <f t="shared" ca="1" si="5"/>
        <v/>
      </c>
      <c r="Y47">
        <v>170</v>
      </c>
      <c r="Z47" s="93" t="e">
        <f>IF(OR($Y47=ROUND(VALUE(Data!$AF$49),-1),$Y47=ROUND(VALUE(Data!$AG$49),-1)),VALUE($Y$12),0)</f>
        <v>#VALUE!</v>
      </c>
      <c r="AA47" s="93" t="e">
        <f>IF(OR($Y47=ROUND(VALUE(Data!$AF$49),-1),$Y47=ROUND(VALUE(Data!$AG$49),-1)),VALUE($Z$12),0)</f>
        <v>#VALUE!</v>
      </c>
      <c r="AB47" s="93" t="str">
        <f>IFERROR(IF(OR($Y47=ROUND(VALUE(Data!$AF$49),-1),$Y47=ROUND(VALUE(Data!$AG$49),-1)),VALUE($Y$11),0),"")</f>
        <v/>
      </c>
      <c r="AC47" s="93" t="str">
        <f>IF($Z$11="","",IF(OR($Y47=ROUND(VALUE(Data!$AF$49),-1),$Y47=ROUND(VALUE(Data!$AG$49),-1)),VALUE($Z$11),0))</f>
        <v/>
      </c>
    </row>
    <row r="48" spans="1:29" ht="15.75" thickBot="1" x14ac:dyDescent="0.25">
      <c r="A48" s="48"/>
      <c r="B48" s="31" t="str">
        <f t="shared" ca="1" si="11"/>
        <v/>
      </c>
      <c r="C48" s="29" t="str">
        <f t="shared" ca="1" si="2"/>
        <v>107</v>
      </c>
      <c r="D48" s="29">
        <f t="shared" ca="1" si="12"/>
        <v>2145.6999999999998</v>
      </c>
      <c r="E48" s="29">
        <f t="shared" ca="1" si="12"/>
        <v>2508.8000000000002</v>
      </c>
      <c r="F48" s="176">
        <f t="shared" ca="1" si="12"/>
        <v>116.92</v>
      </c>
      <c r="H48" s="29">
        <v>46</v>
      </c>
      <c r="I48">
        <f t="shared" si="3"/>
        <v>308.2</v>
      </c>
      <c r="J48">
        <f t="shared" si="13"/>
        <v>1.1288</v>
      </c>
      <c r="P48" s="76" t="s">
        <v>160</v>
      </c>
      <c r="Q48" s="80" t="s">
        <v>229</v>
      </c>
      <c r="R48" s="78">
        <v>2156.1999999999998</v>
      </c>
      <c r="S48" s="79">
        <v>116.82</v>
      </c>
      <c r="T48" s="78">
        <v>2518.96</v>
      </c>
      <c r="U48" s="80" t="s">
        <v>229</v>
      </c>
      <c r="V48" s="80" t="str">
        <f t="shared" si="4"/>
        <v>106</v>
      </c>
      <c r="W48" t="str">
        <f t="shared" ca="1" si="5"/>
        <v/>
      </c>
      <c r="Y48">
        <v>180</v>
      </c>
      <c r="Z48" s="93" t="e">
        <f>IF(OR($Y48=ROUND(VALUE(Data!$AF$49),-1),$Y48=ROUND(VALUE(Data!$AG$49),-1)),VALUE($Y$12),0)</f>
        <v>#VALUE!</v>
      </c>
      <c r="AA48" s="93" t="e">
        <f>IF(OR($Y48=ROUND(VALUE(Data!$AF$49),-1),$Y48=ROUND(VALUE(Data!$AG$49),-1)),VALUE($Z$12),0)</f>
        <v>#VALUE!</v>
      </c>
      <c r="AB48" s="93" t="str">
        <f>IFERROR(IF(OR($Y48=ROUND(VALUE(Data!$AF$49),-1),$Y48=ROUND(VALUE(Data!$AG$49),-1)),VALUE($Y$11),0),"")</f>
        <v/>
      </c>
      <c r="AC48" s="93" t="str">
        <f>IF($Z$11="","",IF(OR($Y48=ROUND(VALUE(Data!$AF$49),-1),$Y48=ROUND(VALUE(Data!$AG$49),-1)),VALUE($Z$11),0))</f>
        <v/>
      </c>
    </row>
    <row r="49" spans="1:33" ht="15.75" thickBot="1" x14ac:dyDescent="0.25">
      <c r="A49" s="48"/>
      <c r="B49" s="31" t="str">
        <f t="shared" ca="1" si="11"/>
        <v/>
      </c>
      <c r="C49" s="29" t="str">
        <f t="shared" ca="1" si="2"/>
        <v>108</v>
      </c>
      <c r="D49" s="29">
        <f t="shared" ca="1" si="12"/>
        <v>2144.3000000000002</v>
      </c>
      <c r="E49" s="29">
        <f t="shared" ca="1" si="12"/>
        <v>2491.94</v>
      </c>
      <c r="F49" s="176">
        <f t="shared" ca="1" si="12"/>
        <v>116.21</v>
      </c>
      <c r="H49" s="29">
        <v>47</v>
      </c>
      <c r="I49">
        <f t="shared" si="3"/>
        <v>314.90000000000003</v>
      </c>
      <c r="J49">
        <f t="shared" si="13"/>
        <v>1.1311</v>
      </c>
      <c r="P49" s="76" t="s">
        <v>160</v>
      </c>
      <c r="Q49" s="80" t="s">
        <v>230</v>
      </c>
      <c r="R49" s="78">
        <v>2145.6999999999998</v>
      </c>
      <c r="S49" s="79">
        <v>116.92</v>
      </c>
      <c r="T49" s="78">
        <v>2508.8000000000002</v>
      </c>
      <c r="U49" s="80" t="s">
        <v>230</v>
      </c>
      <c r="V49" s="80" t="str">
        <f t="shared" si="4"/>
        <v>107</v>
      </c>
      <c r="W49" t="str">
        <f t="shared" ca="1" si="5"/>
        <v/>
      </c>
      <c r="Y49">
        <v>190</v>
      </c>
      <c r="Z49" s="93" t="e">
        <f>IF(OR($Y49=ROUND(VALUE(Data!$AF$49),-1),$Y49=ROUND(VALUE(Data!$AG$49),-1)),VALUE($Y$12),0)</f>
        <v>#VALUE!</v>
      </c>
      <c r="AA49" s="93" t="e">
        <f>IF(OR($Y49=ROUND(VALUE(Data!$AF$49),-1),$Y49=ROUND(VALUE(Data!$AG$49),-1)),VALUE($Z$12),0)</f>
        <v>#VALUE!</v>
      </c>
      <c r="AB49" s="93" t="str">
        <f>IFERROR(IF(OR($Y49=ROUND(VALUE(Data!$AF$49),-1),$Y49=ROUND(VALUE(Data!$AG$49),-1)),VALUE($Y$11),0),"")</f>
        <v/>
      </c>
      <c r="AC49" s="93" t="str">
        <f>IF($Z$11="","",IF(OR($Y49=ROUND(VALUE(Data!$AF$49),-1),$Y49=ROUND(VALUE(Data!$AG$49),-1)),VALUE($Z$11),0))</f>
        <v/>
      </c>
      <c r="AE49" s="4" t="s">
        <v>306</v>
      </c>
      <c r="AF49" s="26" t="e">
        <f>MOD(LEFT('W &amp; B'!D7,3)-45,360)</f>
        <v>#VALUE!</v>
      </c>
      <c r="AG49" s="26" t="e">
        <f>MOD(LEFT('W &amp; B'!D7,3)+45,360)</f>
        <v>#VALUE!</v>
      </c>
    </row>
    <row r="50" spans="1:33" ht="15.75" thickBot="1" x14ac:dyDescent="0.25">
      <c r="A50" s="48"/>
      <c r="B50" s="31" t="str">
        <f t="shared" ca="1" si="11"/>
        <v/>
      </c>
      <c r="C50" s="29" t="str">
        <f t="shared" ca="1" si="2"/>
        <v>109</v>
      </c>
      <c r="D50" s="29">
        <f t="shared" ca="1" si="12"/>
        <v>2141.6999999999998</v>
      </c>
      <c r="E50" s="29">
        <f t="shared" ca="1" si="12"/>
        <v>2497.9899999999998</v>
      </c>
      <c r="F50" s="176">
        <f t="shared" ca="1" si="12"/>
        <v>116.64</v>
      </c>
      <c r="H50" s="29">
        <v>48</v>
      </c>
      <c r="I50">
        <f t="shared" si="3"/>
        <v>321.60000000000002</v>
      </c>
      <c r="J50">
        <f t="shared" si="13"/>
        <v>1.1334</v>
      </c>
      <c r="P50" s="76" t="s">
        <v>160</v>
      </c>
      <c r="Q50" s="80" t="s">
        <v>231</v>
      </c>
      <c r="R50" s="78">
        <v>2144.3000000000002</v>
      </c>
      <c r="S50" s="79">
        <v>116.21</v>
      </c>
      <c r="T50" s="78">
        <v>2491.94</v>
      </c>
      <c r="U50" s="80" t="s">
        <v>231</v>
      </c>
      <c r="V50" s="80" t="str">
        <f t="shared" si="4"/>
        <v>108</v>
      </c>
      <c r="W50" t="str">
        <f t="shared" ca="1" si="5"/>
        <v/>
      </c>
      <c r="Y50">
        <v>200</v>
      </c>
      <c r="Z50" s="93" t="e">
        <f>IF(OR($Y50=ROUND(VALUE(Data!$AF$49),-1),$Y50=ROUND(VALUE(Data!$AG$49),-1)),VALUE($Y$12),0)</f>
        <v>#VALUE!</v>
      </c>
      <c r="AA50" s="93" t="e">
        <f>IF(OR($Y50=ROUND(VALUE(Data!$AF$49),-1),$Y50=ROUND(VALUE(Data!$AG$49),-1)),VALUE($Z$12),0)</f>
        <v>#VALUE!</v>
      </c>
      <c r="AB50" s="93" t="str">
        <f>IFERROR(IF(OR($Y50=ROUND(VALUE(Data!$AF$49),-1),$Y50=ROUND(VALUE(Data!$AG$49),-1)),VALUE($Y$11),0),"")</f>
        <v/>
      </c>
      <c r="AC50" s="93" t="str">
        <f>IF($Z$11="","",IF(OR($Y50=ROUND(VALUE(Data!$AF$49),-1),$Y50=ROUND(VALUE(Data!$AG$49),-1)),VALUE($Z$11),0))</f>
        <v/>
      </c>
    </row>
    <row r="51" spans="1:33" ht="15.75" thickBot="1" x14ac:dyDescent="0.25">
      <c r="A51" s="48"/>
      <c r="B51" s="31" t="str">
        <f t="shared" ca="1" si="11"/>
        <v/>
      </c>
      <c r="C51" s="29" t="str">
        <f t="shared" ca="1" si="2"/>
        <v>110</v>
      </c>
      <c r="D51" s="29">
        <f t="shared" ca="1" si="12"/>
        <v>2146.6999999999998</v>
      </c>
      <c r="E51" s="29">
        <f t="shared" ca="1" si="12"/>
        <v>2509.98</v>
      </c>
      <c r="F51" s="176">
        <f t="shared" ca="1" si="12"/>
        <v>116.92</v>
      </c>
      <c r="H51" s="29">
        <v>49</v>
      </c>
      <c r="I51">
        <f t="shared" si="3"/>
        <v>328.3</v>
      </c>
      <c r="J51">
        <f t="shared" si="13"/>
        <v>1.1356999999999999</v>
      </c>
      <c r="P51" s="76" t="s">
        <v>160</v>
      </c>
      <c r="Q51" s="80" t="s">
        <v>232</v>
      </c>
      <c r="R51" s="78">
        <v>2141.6999999999998</v>
      </c>
      <c r="S51" s="79">
        <v>116.64</v>
      </c>
      <c r="T51" s="78">
        <v>2497.9899999999998</v>
      </c>
      <c r="U51" s="80" t="s">
        <v>232</v>
      </c>
      <c r="V51" s="80" t="str">
        <f t="shared" si="4"/>
        <v>109</v>
      </c>
      <c r="W51" t="str">
        <f t="shared" ca="1" si="5"/>
        <v/>
      </c>
      <c r="Y51">
        <v>210</v>
      </c>
      <c r="Z51" s="93" t="e">
        <f>IF(OR($Y51=ROUND(VALUE(Data!$AF$49),-1),$Y51=ROUND(VALUE(Data!$AG$49),-1)),VALUE($Y$12),0)</f>
        <v>#VALUE!</v>
      </c>
      <c r="AA51" s="93" t="e">
        <f>IF(OR($Y51=ROUND(VALUE(Data!$AF$49),-1),$Y51=ROUND(VALUE(Data!$AG$49),-1)),VALUE($Z$12),0)</f>
        <v>#VALUE!</v>
      </c>
      <c r="AB51" s="93" t="str">
        <f>IFERROR(IF(OR($Y51=ROUND(VALUE(Data!$AF$49),-1),$Y51=ROUND(VALUE(Data!$AG$49),-1)),VALUE($Y$11),0),"")</f>
        <v/>
      </c>
      <c r="AC51" s="93" t="str">
        <f>IF($Z$11="","",IF(OR($Y51=ROUND(VALUE(Data!$AF$49),-1),$Y51=ROUND(VALUE(Data!$AG$49),-1)),VALUE($Z$11),0))</f>
        <v/>
      </c>
    </row>
    <row r="52" spans="1:33" ht="15.75" thickBot="1" x14ac:dyDescent="0.25">
      <c r="A52" s="48"/>
      <c r="B52" s="31" t="str">
        <f t="shared" ca="1" si="11"/>
        <v/>
      </c>
      <c r="C52" s="29" t="str">
        <f t="shared" ca="1" si="2"/>
        <v>112</v>
      </c>
      <c r="D52" s="29">
        <f t="shared" ca="1" si="12"/>
        <v>2147.3000000000002</v>
      </c>
      <c r="E52" s="29">
        <f t="shared" ca="1" si="12"/>
        <v>2494.86</v>
      </c>
      <c r="F52" s="176">
        <f t="shared" ca="1" si="12"/>
        <v>116.19</v>
      </c>
      <c r="H52" s="29">
        <v>50</v>
      </c>
      <c r="I52">
        <f t="shared" si="3"/>
        <v>335</v>
      </c>
      <c r="J52" s="29">
        <v>1.1379999999999999</v>
      </c>
      <c r="P52" s="76" t="s">
        <v>160</v>
      </c>
      <c r="Q52" s="80" t="s">
        <v>233</v>
      </c>
      <c r="R52" s="78">
        <v>2146.6999999999998</v>
      </c>
      <c r="S52" s="79">
        <v>116.92</v>
      </c>
      <c r="T52" s="78">
        <v>2509.98</v>
      </c>
      <c r="U52" s="80" t="s">
        <v>233</v>
      </c>
      <c r="V52" s="80" t="str">
        <f t="shared" si="4"/>
        <v>110</v>
      </c>
      <c r="W52" t="str">
        <f t="shared" ca="1" si="5"/>
        <v/>
      </c>
      <c r="Y52">
        <v>220</v>
      </c>
      <c r="Z52" s="93" t="e">
        <f>IF(OR($Y52=ROUND(VALUE(Data!$AF$49),-1),$Y52=ROUND(VALUE(Data!$AG$49),-1)),VALUE($Y$12),0)</f>
        <v>#VALUE!</v>
      </c>
      <c r="AA52" s="93" t="e">
        <f>IF(OR($Y52=ROUND(VALUE(Data!$AF$49),-1),$Y52=ROUND(VALUE(Data!$AG$49),-1)),VALUE($Z$12),0)</f>
        <v>#VALUE!</v>
      </c>
      <c r="AB52" s="93" t="str">
        <f>IFERROR(IF(OR($Y52=ROUND(VALUE(Data!$AF$49),-1),$Y52=ROUND(VALUE(Data!$AG$49),-1)),VALUE($Y$11),0),"")</f>
        <v/>
      </c>
      <c r="AC52" s="93" t="str">
        <f>IF($Z$11="","",IF(OR($Y52=ROUND(VALUE(Data!$AF$49),-1),$Y52=ROUND(VALUE(Data!$AG$49),-1)),VALUE($Z$11),0))</f>
        <v/>
      </c>
    </row>
    <row r="53" spans="1:33" ht="15.75" thickBot="1" x14ac:dyDescent="0.25">
      <c r="A53" s="48"/>
      <c r="B53" s="31" t="str">
        <f t="shared" ca="1" si="11"/>
        <v/>
      </c>
      <c r="C53" s="29" t="str">
        <f t="shared" ca="1" si="2"/>
        <v>113</v>
      </c>
      <c r="D53" s="29">
        <f t="shared" ca="1" si="12"/>
        <v>2147.6999999999998</v>
      </c>
      <c r="E53" s="29">
        <f t="shared" ca="1" si="12"/>
        <v>2499.3000000000002</v>
      </c>
      <c r="F53" s="176">
        <f t="shared" ca="1" si="12"/>
        <v>116.37</v>
      </c>
      <c r="H53" s="29">
        <v>51</v>
      </c>
      <c r="I53">
        <f t="shared" si="3"/>
        <v>341.7</v>
      </c>
      <c r="J53">
        <f>((($J$52-$J$62)/($I$52-$I$62))*(I53-$I$52))+$J$52</f>
        <v>1.1395</v>
      </c>
      <c r="P53" s="76" t="s">
        <v>160</v>
      </c>
      <c r="Q53" s="80" t="s">
        <v>234</v>
      </c>
      <c r="R53" s="78">
        <v>2147.3000000000002</v>
      </c>
      <c r="S53" s="79">
        <v>116.19</v>
      </c>
      <c r="T53" s="78">
        <v>2494.86</v>
      </c>
      <c r="U53" s="80" t="s">
        <v>234</v>
      </c>
      <c r="V53" s="80" t="str">
        <f t="shared" si="4"/>
        <v>112</v>
      </c>
      <c r="W53" t="str">
        <f t="shared" ca="1" si="5"/>
        <v/>
      </c>
      <c r="Y53">
        <v>230</v>
      </c>
      <c r="Z53" s="93" t="e">
        <f>IF(OR($Y53=ROUND(VALUE(Data!$AF$49),-1),$Y53=ROUND(VALUE(Data!$AG$49),-1)),VALUE($Y$12),0)</f>
        <v>#VALUE!</v>
      </c>
      <c r="AA53" s="93" t="e">
        <f>IF(OR($Y53=ROUND(VALUE(Data!$AF$49),-1),$Y53=ROUND(VALUE(Data!$AG$49),-1)),VALUE($Z$12),0)</f>
        <v>#VALUE!</v>
      </c>
      <c r="AB53" s="93" t="str">
        <f>IFERROR(IF(OR($Y53=ROUND(VALUE(Data!$AF$49),-1),$Y53=ROUND(VALUE(Data!$AG$49),-1)),VALUE($Y$11),0),"")</f>
        <v/>
      </c>
      <c r="AC53" s="93" t="str">
        <f>IF($Z$11="","",IF(OR($Y53=ROUND(VALUE(Data!$AF$49),-1),$Y53=ROUND(VALUE(Data!$AG$49),-1)),VALUE($Z$11),0))</f>
        <v/>
      </c>
    </row>
    <row r="54" spans="1:33" ht="15.75" thickBot="1" x14ac:dyDescent="0.25">
      <c r="A54" s="48"/>
      <c r="B54" s="31" t="str">
        <f t="shared" ca="1" si="11"/>
        <v/>
      </c>
      <c r="C54" s="29" t="str">
        <f t="shared" ca="1" si="2"/>
        <v>114</v>
      </c>
      <c r="D54" s="29">
        <f t="shared" ca="1" si="12"/>
        <v>2158.6999999999998</v>
      </c>
      <c r="E54" s="29">
        <f t="shared" ca="1" si="12"/>
        <v>2521.59</v>
      </c>
      <c r="F54" s="176">
        <f t="shared" ca="1" si="12"/>
        <v>116.81</v>
      </c>
      <c r="H54" s="29">
        <v>52</v>
      </c>
      <c r="I54">
        <f t="shared" si="3"/>
        <v>348.40000000000003</v>
      </c>
      <c r="J54">
        <f t="shared" ref="J54:J61" si="14">((($J$52-$J$62)/($I$52-$I$62))*(I54-$I$52))+$J$52</f>
        <v>1.141</v>
      </c>
      <c r="P54" s="76" t="s">
        <v>160</v>
      </c>
      <c r="Q54" s="80" t="s">
        <v>235</v>
      </c>
      <c r="R54" s="78">
        <v>2147.6999999999998</v>
      </c>
      <c r="S54" s="79">
        <v>116.37</v>
      </c>
      <c r="T54" s="78">
        <v>2499.3000000000002</v>
      </c>
      <c r="U54" s="80" t="s">
        <v>235</v>
      </c>
      <c r="V54" s="80" t="str">
        <f t="shared" si="4"/>
        <v>113</v>
      </c>
      <c r="W54" t="str">
        <f t="shared" ca="1" si="5"/>
        <v/>
      </c>
      <c r="Y54">
        <v>240</v>
      </c>
      <c r="Z54" s="93" t="e">
        <f>IF(OR($Y54=ROUND(VALUE(Data!$AF$49),-1),$Y54=ROUND(VALUE(Data!$AG$49),-1)),VALUE($Y$12),0)</f>
        <v>#VALUE!</v>
      </c>
      <c r="AA54" s="93" t="e">
        <f>IF(OR($Y54=ROUND(VALUE(Data!$AF$49),-1),$Y54=ROUND(VALUE(Data!$AG$49),-1)),VALUE($Z$12),0)</f>
        <v>#VALUE!</v>
      </c>
      <c r="AB54" s="93" t="str">
        <f>IFERROR(IF(OR($Y54=ROUND(VALUE(Data!$AF$49),-1),$Y54=ROUND(VALUE(Data!$AG$49),-1)),VALUE($Y$11),0),"")</f>
        <v/>
      </c>
      <c r="AC54" s="93" t="str">
        <f>IF($Z$11="","",IF(OR($Y54=ROUND(VALUE(Data!$AF$49),-1),$Y54=ROUND(VALUE(Data!$AG$49),-1)),VALUE($Z$11),0))</f>
        <v/>
      </c>
    </row>
    <row r="55" spans="1:33" ht="15.75" thickBot="1" x14ac:dyDescent="0.25">
      <c r="A55" s="48"/>
      <c r="B55" s="31" t="str">
        <f t="shared" ca="1" si="11"/>
        <v/>
      </c>
      <c r="C55" s="29" t="str">
        <f t="shared" ca="1" si="2"/>
        <v>115</v>
      </c>
      <c r="D55" s="29">
        <f t="shared" ca="1" si="12"/>
        <v>2150.3000000000002</v>
      </c>
      <c r="E55" s="29">
        <f t="shared" ca="1" si="12"/>
        <v>2501.42</v>
      </c>
      <c r="F55" s="176">
        <f t="shared" ca="1" si="12"/>
        <v>116.33</v>
      </c>
      <c r="H55" s="29">
        <v>53</v>
      </c>
      <c r="I55">
        <f t="shared" si="3"/>
        <v>355.1</v>
      </c>
      <c r="J55">
        <f t="shared" si="14"/>
        <v>1.1424999999999998</v>
      </c>
      <c r="P55" s="76" t="s">
        <v>160</v>
      </c>
      <c r="Q55" s="80" t="s">
        <v>236</v>
      </c>
      <c r="R55" s="78">
        <v>2158.6999999999998</v>
      </c>
      <c r="S55" s="79">
        <v>116.81</v>
      </c>
      <c r="T55" s="78">
        <v>2521.59</v>
      </c>
      <c r="U55" s="80" t="s">
        <v>236</v>
      </c>
      <c r="V55" s="80" t="str">
        <f t="shared" si="4"/>
        <v>114</v>
      </c>
      <c r="W55" t="str">
        <f t="shared" ca="1" si="5"/>
        <v/>
      </c>
      <c r="Y55">
        <v>250</v>
      </c>
      <c r="Z55" s="93" t="e">
        <f>IF(OR($Y55=ROUND(VALUE(Data!$AF$49),-1),$Y55=ROUND(VALUE(Data!$AG$49),-1)),VALUE($Y$12),0)</f>
        <v>#VALUE!</v>
      </c>
      <c r="AA55" s="93" t="e">
        <f>IF(OR($Y55=ROUND(VALUE(Data!$AF$49),-1),$Y55=ROUND(VALUE(Data!$AG$49),-1)),VALUE($Z$12),0)</f>
        <v>#VALUE!</v>
      </c>
      <c r="AB55" s="93" t="str">
        <f>IFERROR(IF(OR($Y55=ROUND(VALUE(Data!$AF$49),-1),$Y55=ROUND(VALUE(Data!$AG$49),-1)),VALUE($Y$11),0),"")</f>
        <v/>
      </c>
      <c r="AC55" s="93" t="str">
        <f>IF($Z$11="","",IF(OR($Y55=ROUND(VALUE(Data!$AF$49),-1),$Y55=ROUND(VALUE(Data!$AG$49),-1)),VALUE($Z$11),0))</f>
        <v/>
      </c>
    </row>
    <row r="56" spans="1:33" ht="15.75" thickBot="1" x14ac:dyDescent="0.25">
      <c r="A56" s="48"/>
      <c r="B56" s="31" t="str">
        <f t="shared" ca="1" si="11"/>
        <v/>
      </c>
      <c r="C56" s="29" t="str">
        <f t="shared" ca="1" si="2"/>
        <v>116</v>
      </c>
      <c r="D56" s="29">
        <f t="shared" ca="1" si="12"/>
        <v>2151.1999999999998</v>
      </c>
      <c r="E56" s="29">
        <f t="shared" ca="1" si="12"/>
        <v>2504.98</v>
      </c>
      <c r="F56" s="176">
        <f t="shared" ca="1" si="12"/>
        <v>116.45</v>
      </c>
      <c r="H56" s="29">
        <v>54</v>
      </c>
      <c r="I56">
        <f t="shared" si="3"/>
        <v>361.8</v>
      </c>
      <c r="J56">
        <f t="shared" si="14"/>
        <v>1.1439999999999999</v>
      </c>
      <c r="P56" s="76" t="s">
        <v>160</v>
      </c>
      <c r="Q56" s="80" t="s">
        <v>237</v>
      </c>
      <c r="R56" s="78">
        <v>2150.3000000000002</v>
      </c>
      <c r="S56" s="79">
        <v>116.33</v>
      </c>
      <c r="T56" s="78">
        <v>2501.42</v>
      </c>
      <c r="U56" s="80" t="s">
        <v>237</v>
      </c>
      <c r="V56" s="80" t="str">
        <f t="shared" si="4"/>
        <v>115</v>
      </c>
      <c r="W56" t="str">
        <f t="shared" ca="1" si="5"/>
        <v/>
      </c>
      <c r="Y56">
        <v>260</v>
      </c>
      <c r="Z56" s="93" t="e">
        <f>IF(OR($Y56=ROUND(VALUE(Data!$AF$49),-1),$Y56=ROUND(VALUE(Data!$AG$49),-1)),VALUE($Y$12),0)</f>
        <v>#VALUE!</v>
      </c>
      <c r="AA56" s="93" t="e">
        <f>IF(OR($Y56=ROUND(VALUE(Data!$AF$49),-1),$Y56=ROUND(VALUE(Data!$AG$49),-1)),VALUE($Z$12),0)</f>
        <v>#VALUE!</v>
      </c>
      <c r="AB56" s="93" t="str">
        <f>IFERROR(IF(OR($Y56=ROUND(VALUE(Data!$AF$49),-1),$Y56=ROUND(VALUE(Data!$AG$49),-1)),VALUE($Y$11),0),"")</f>
        <v/>
      </c>
      <c r="AC56" s="93" t="str">
        <f>IF($Z$11="","",IF(OR($Y56=ROUND(VALUE(Data!$AF$49),-1),$Y56=ROUND(VALUE(Data!$AG$49),-1)),VALUE($Z$11),0))</f>
        <v/>
      </c>
    </row>
    <row r="57" spans="1:33" ht="15.75" thickBot="1" x14ac:dyDescent="0.25">
      <c r="A57" s="48"/>
      <c r="B57" s="31" t="str">
        <f t="shared" ca="1" si="11"/>
        <v/>
      </c>
      <c r="C57" s="29" t="str">
        <f t="shared" ca="1" si="2"/>
        <v>117</v>
      </c>
      <c r="D57" s="29">
        <f t="shared" ca="1" si="12"/>
        <v>2155.1</v>
      </c>
      <c r="E57" s="29">
        <f t="shared" ca="1" si="12"/>
        <v>2503.4899999999998</v>
      </c>
      <c r="F57" s="176">
        <f t="shared" ca="1" si="12"/>
        <v>116.16</v>
      </c>
      <c r="H57" s="29">
        <v>55</v>
      </c>
      <c r="I57">
        <f t="shared" si="3"/>
        <v>368.5</v>
      </c>
      <c r="J57">
        <f t="shared" si="14"/>
        <v>1.1455</v>
      </c>
      <c r="P57" s="76" t="s">
        <v>160</v>
      </c>
      <c r="Q57" s="80" t="s">
        <v>238</v>
      </c>
      <c r="R57" s="78">
        <v>2151.1999999999998</v>
      </c>
      <c r="S57" s="79">
        <v>116.45</v>
      </c>
      <c r="T57" s="78">
        <v>2504.98</v>
      </c>
      <c r="U57" s="80" t="s">
        <v>238</v>
      </c>
      <c r="V57" s="80" t="str">
        <f t="shared" si="4"/>
        <v>116</v>
      </c>
      <c r="W57" t="str">
        <f t="shared" ca="1" si="5"/>
        <v/>
      </c>
      <c r="Y57">
        <v>270</v>
      </c>
      <c r="Z57" s="93" t="e">
        <f>IF(OR($Y57=ROUND(VALUE(Data!$AF$49),-1),$Y57=ROUND(VALUE(Data!$AG$49),-1)),VALUE($Y$12),0)</f>
        <v>#VALUE!</v>
      </c>
      <c r="AA57" s="93" t="e">
        <f>IF(OR($Y57=ROUND(VALUE(Data!$AF$49),-1),$Y57=ROUND(VALUE(Data!$AG$49),-1)),VALUE($Z$12),0)</f>
        <v>#VALUE!</v>
      </c>
      <c r="AB57" s="93" t="str">
        <f>IFERROR(IF(OR($Y57=ROUND(VALUE(Data!$AF$49),-1),$Y57=ROUND(VALUE(Data!$AG$49),-1)),VALUE($Y$11),0),"")</f>
        <v/>
      </c>
      <c r="AC57" s="93" t="str">
        <f>IF($Z$11="","",IF(OR($Y57=ROUND(VALUE(Data!$AF$49),-1),$Y57=ROUND(VALUE(Data!$AG$49),-1)),VALUE($Z$11),0))</f>
        <v/>
      </c>
    </row>
    <row r="58" spans="1:33" ht="15.75" thickBot="1" x14ac:dyDescent="0.25">
      <c r="A58" s="48"/>
      <c r="B58" s="31" t="str">
        <f t="shared" ca="1" si="11"/>
        <v/>
      </c>
      <c r="C58" s="29" t="str">
        <f t="shared" ca="1" si="2"/>
        <v>118</v>
      </c>
      <c r="D58" s="29">
        <f t="shared" ca="1" si="12"/>
        <v>2146.1</v>
      </c>
      <c r="E58" s="29">
        <f t="shared" ca="1" si="12"/>
        <v>2498.1799999999998</v>
      </c>
      <c r="F58" s="176">
        <f t="shared" ca="1" si="12"/>
        <v>116.4</v>
      </c>
      <c r="H58" s="29">
        <v>56</v>
      </c>
      <c r="I58">
        <f t="shared" si="3"/>
        <v>375.2</v>
      </c>
      <c r="J58">
        <f t="shared" si="14"/>
        <v>1.147</v>
      </c>
      <c r="P58" s="76" t="s">
        <v>160</v>
      </c>
      <c r="Q58" s="80" t="s">
        <v>239</v>
      </c>
      <c r="R58" s="78">
        <v>2155.1</v>
      </c>
      <c r="S58" s="79">
        <v>116.16</v>
      </c>
      <c r="T58" s="78">
        <v>2503.4899999999998</v>
      </c>
      <c r="U58" s="80" t="s">
        <v>239</v>
      </c>
      <c r="V58" s="80" t="str">
        <f t="shared" si="4"/>
        <v>117</v>
      </c>
      <c r="W58" t="str">
        <f t="shared" ca="1" si="5"/>
        <v/>
      </c>
      <c r="Y58">
        <v>280</v>
      </c>
      <c r="Z58" s="93" t="e">
        <f>IF(OR($Y58=ROUND(VALUE(Data!$AF$49),-1),$Y58=ROUND(VALUE(Data!$AG$49),-1)),VALUE($Y$12),0)</f>
        <v>#VALUE!</v>
      </c>
      <c r="AA58" s="93" t="e">
        <f>IF(OR($Y58=ROUND(VALUE(Data!$AF$49),-1),$Y58=ROUND(VALUE(Data!$AG$49),-1)),VALUE($Z$12),0)</f>
        <v>#VALUE!</v>
      </c>
      <c r="AB58" s="93" t="str">
        <f>IFERROR(IF(OR($Y58=ROUND(VALUE(Data!$AF$49),-1),$Y58=ROUND(VALUE(Data!$AG$49),-1)),VALUE($Y$11),0),"")</f>
        <v/>
      </c>
      <c r="AC58" s="93" t="str">
        <f>IF($Z$11="","",IF(OR($Y58=ROUND(VALUE(Data!$AF$49),-1),$Y58=ROUND(VALUE(Data!$AG$49),-1)),VALUE($Z$11),0))</f>
        <v/>
      </c>
    </row>
    <row r="59" spans="1:33" ht="15.75" thickBot="1" x14ac:dyDescent="0.25">
      <c r="A59" s="48"/>
      <c r="B59" s="31" t="str">
        <f t="shared" ca="1" si="11"/>
        <v/>
      </c>
      <c r="C59" s="29" t="str">
        <f t="shared" ca="1" si="2"/>
        <v>120</v>
      </c>
      <c r="D59" s="29">
        <f t="shared" ca="1" si="12"/>
        <v>2135.8000000000002</v>
      </c>
      <c r="E59" s="29">
        <f t="shared" ca="1" si="12"/>
        <v>2496.2199999999998</v>
      </c>
      <c r="F59" s="176">
        <f t="shared" ca="1" si="12"/>
        <v>116.87</v>
      </c>
      <c r="H59" s="29">
        <v>57</v>
      </c>
      <c r="I59">
        <f t="shared" si="3"/>
        <v>381.90000000000003</v>
      </c>
      <c r="J59">
        <f t="shared" si="14"/>
        <v>1.1485000000000001</v>
      </c>
      <c r="P59" s="76" t="s">
        <v>160</v>
      </c>
      <c r="Q59" s="80" t="s">
        <v>240</v>
      </c>
      <c r="R59" s="78">
        <v>2146.1</v>
      </c>
      <c r="S59" s="79">
        <v>116.4</v>
      </c>
      <c r="T59" s="78">
        <v>2498.1799999999998</v>
      </c>
      <c r="U59" s="80" t="s">
        <v>240</v>
      </c>
      <c r="V59" s="80" t="str">
        <f t="shared" si="4"/>
        <v>118</v>
      </c>
      <c r="W59" t="str">
        <f t="shared" ca="1" si="5"/>
        <v/>
      </c>
      <c r="Y59">
        <v>290</v>
      </c>
      <c r="Z59" s="93" t="e">
        <f>IF(OR($Y59=ROUND(VALUE(Data!$AF$49),-1),$Y59=ROUND(VALUE(Data!$AG$49),-1)),VALUE($Y$12),0)</f>
        <v>#VALUE!</v>
      </c>
      <c r="AA59" s="93" t="e">
        <f>IF(OR($Y59=ROUND(VALUE(Data!$AF$49),-1),$Y59=ROUND(VALUE(Data!$AG$49),-1)),VALUE($Z$12),0)</f>
        <v>#VALUE!</v>
      </c>
      <c r="AB59" s="93" t="str">
        <f>IFERROR(IF(OR($Y59=ROUND(VALUE(Data!$AF$49),-1),$Y59=ROUND(VALUE(Data!$AG$49),-1)),VALUE($Y$11),0),"")</f>
        <v/>
      </c>
      <c r="AC59" s="93" t="str">
        <f>IF($Z$11="","",IF(OR($Y59=ROUND(VALUE(Data!$AF$49),-1),$Y59=ROUND(VALUE(Data!$AG$49),-1)),VALUE($Z$11),0))</f>
        <v/>
      </c>
    </row>
    <row r="60" spans="1:33" ht="15.75" thickBot="1" x14ac:dyDescent="0.25">
      <c r="A60" s="48"/>
      <c r="B60" s="31" t="str">
        <f t="shared" ca="1" si="11"/>
        <v/>
      </c>
      <c r="C60" s="29" t="str">
        <f t="shared" ca="1" si="2"/>
        <v>121</v>
      </c>
      <c r="D60" s="29">
        <f t="shared" ca="1" si="12"/>
        <v>2153.3000000000002</v>
      </c>
      <c r="E60" s="29">
        <f t="shared" ca="1" si="12"/>
        <v>2504.0500000000002</v>
      </c>
      <c r="F60" s="176">
        <f t="shared" ca="1" si="12"/>
        <v>116.29</v>
      </c>
      <c r="H60" s="29">
        <v>58</v>
      </c>
      <c r="I60">
        <f t="shared" si="3"/>
        <v>388.6</v>
      </c>
      <c r="J60">
        <f t="shared" si="14"/>
        <v>1.1499999999999999</v>
      </c>
      <c r="P60" s="76" t="s">
        <v>160</v>
      </c>
      <c r="Q60" s="80" t="s">
        <v>241</v>
      </c>
      <c r="R60" s="78">
        <v>2135.8000000000002</v>
      </c>
      <c r="S60" s="79">
        <v>116.87</v>
      </c>
      <c r="T60" s="78">
        <v>2496.2199999999998</v>
      </c>
      <c r="U60" s="80" t="s">
        <v>241</v>
      </c>
      <c r="V60" s="80" t="str">
        <f t="shared" si="4"/>
        <v>120</v>
      </c>
      <c r="W60" t="str">
        <f t="shared" ca="1" si="5"/>
        <v/>
      </c>
      <c r="Y60">
        <v>300</v>
      </c>
      <c r="Z60" s="93" t="e">
        <f>IF(OR($Y60=ROUND(VALUE(Data!$AF$49),-1),$Y60=ROUND(VALUE(Data!$AG$49),-1)),VALUE($Y$12),0)</f>
        <v>#VALUE!</v>
      </c>
      <c r="AA60" s="93" t="e">
        <f>IF(OR($Y60=ROUND(VALUE(Data!$AF$49),-1),$Y60=ROUND(VALUE(Data!$AG$49),-1)),VALUE($Z$12),0)</f>
        <v>#VALUE!</v>
      </c>
      <c r="AB60" s="93" t="str">
        <f>IFERROR(IF(OR($Y60=ROUND(VALUE(Data!$AF$49),-1),$Y60=ROUND(VALUE(Data!$AG$49),-1)),VALUE($Y$11),0),"")</f>
        <v/>
      </c>
      <c r="AC60" s="93" t="str">
        <f>IF($Z$11="","",IF(OR($Y60=ROUND(VALUE(Data!$AF$49),-1),$Y60=ROUND(VALUE(Data!$AG$49),-1)),VALUE($Z$11),0))</f>
        <v/>
      </c>
    </row>
    <row r="61" spans="1:33" ht="15.75" thickBot="1" x14ac:dyDescent="0.25">
      <c r="A61" s="48"/>
      <c r="B61" s="31" t="str">
        <f t="shared" ca="1" si="11"/>
        <v/>
      </c>
      <c r="C61" s="29" t="str">
        <f t="shared" ca="1" si="2"/>
        <v>122</v>
      </c>
      <c r="D61" s="29">
        <f t="shared" ca="1" si="12"/>
        <v>2132.6999999999998</v>
      </c>
      <c r="E61" s="29">
        <f t="shared" ca="1" si="12"/>
        <v>2482.92</v>
      </c>
      <c r="F61" s="176">
        <f t="shared" ca="1" si="12"/>
        <v>116.42</v>
      </c>
      <c r="H61" s="29">
        <v>59</v>
      </c>
      <c r="I61">
        <f t="shared" si="3"/>
        <v>395.3</v>
      </c>
      <c r="J61">
        <f t="shared" si="14"/>
        <v>1.1515</v>
      </c>
      <c r="P61" s="76" t="s">
        <v>160</v>
      </c>
      <c r="Q61" s="80" t="s">
        <v>242</v>
      </c>
      <c r="R61" s="78">
        <v>2153.3000000000002</v>
      </c>
      <c r="S61" s="79">
        <v>116.29</v>
      </c>
      <c r="T61" s="78">
        <v>2504.0500000000002</v>
      </c>
      <c r="U61" s="80" t="s">
        <v>242</v>
      </c>
      <c r="V61" s="80" t="str">
        <f t="shared" si="4"/>
        <v>121</v>
      </c>
      <c r="W61" t="str">
        <f t="shared" ca="1" si="5"/>
        <v/>
      </c>
      <c r="Y61">
        <v>310</v>
      </c>
      <c r="Z61" s="93" t="e">
        <f>IF(OR($Y61=ROUND(VALUE(Data!$AF$49),-1),$Y61=ROUND(VALUE(Data!$AG$49),-1)),VALUE($Y$12),0)</f>
        <v>#VALUE!</v>
      </c>
      <c r="AA61" s="93" t="e">
        <f>IF(OR($Y61=ROUND(VALUE(Data!$AF$49),-1),$Y61=ROUND(VALUE(Data!$AG$49),-1)),VALUE($Z$12),0)</f>
        <v>#VALUE!</v>
      </c>
      <c r="AB61" s="93" t="str">
        <f>IFERROR(IF(OR($Y61=ROUND(VALUE(Data!$AF$49),-1),$Y61=ROUND(VALUE(Data!$AG$49),-1)),VALUE($Y$11),0),"")</f>
        <v/>
      </c>
      <c r="AC61" s="93" t="str">
        <f>IF($Z$11="","",IF(OR($Y61=ROUND(VALUE(Data!$AF$49),-1),$Y61=ROUND(VALUE(Data!$AG$49),-1)),VALUE($Z$11),0))</f>
        <v/>
      </c>
    </row>
    <row r="62" spans="1:33" ht="15.75" thickBot="1" x14ac:dyDescent="0.25">
      <c r="A62" s="48"/>
      <c r="B62" s="31" t="str">
        <f t="shared" ca="1" si="11"/>
        <v/>
      </c>
      <c r="C62" s="29" t="str">
        <f t="shared" ca="1" si="2"/>
        <v>125</v>
      </c>
      <c r="D62" s="29">
        <f t="shared" ca="1" si="12"/>
        <v>2143.1999999999998</v>
      </c>
      <c r="E62" s="29">
        <f t="shared" ca="1" si="12"/>
        <v>2501.81</v>
      </c>
      <c r="F62" s="176">
        <f t="shared" ca="1" si="12"/>
        <v>116.73</v>
      </c>
      <c r="H62" s="29">
        <v>60</v>
      </c>
      <c r="I62">
        <f t="shared" si="3"/>
        <v>402</v>
      </c>
      <c r="J62" s="29">
        <v>1.153</v>
      </c>
      <c r="P62" s="76" t="s">
        <v>160</v>
      </c>
      <c r="Q62" s="80" t="s">
        <v>243</v>
      </c>
      <c r="R62" s="78">
        <v>2132.6999999999998</v>
      </c>
      <c r="S62" s="79">
        <v>116.42</v>
      </c>
      <c r="T62" s="78">
        <v>2482.92</v>
      </c>
      <c r="U62" s="80" t="s">
        <v>243</v>
      </c>
      <c r="V62" s="80" t="str">
        <f t="shared" si="4"/>
        <v>122</v>
      </c>
      <c r="W62" t="str">
        <f t="shared" ca="1" si="5"/>
        <v/>
      </c>
      <c r="Y62">
        <v>320</v>
      </c>
      <c r="Z62" s="93" t="e">
        <f>IF(OR($Y62=ROUND(VALUE(Data!$AF$49),-1),$Y62=ROUND(VALUE(Data!$AG$49),-1)),VALUE($Y$12),0)</f>
        <v>#VALUE!</v>
      </c>
      <c r="AA62" s="93" t="e">
        <f>IF(OR($Y62=ROUND(VALUE(Data!$AF$49),-1),$Y62=ROUND(VALUE(Data!$AG$49),-1)),VALUE($Z$12),0)</f>
        <v>#VALUE!</v>
      </c>
      <c r="AB62" s="93" t="str">
        <f>IFERROR(IF(OR($Y62=ROUND(VALUE(Data!$AF$49),-1),$Y62=ROUND(VALUE(Data!$AG$49),-1)),VALUE($Y$11),0),"")</f>
        <v/>
      </c>
      <c r="AC62" s="93" t="str">
        <f>IF($Z$11="","",IF(OR($Y62=ROUND(VALUE(Data!$AF$49),-1),$Y62=ROUND(VALUE(Data!$AG$49),-1)),VALUE($Z$11),0))</f>
        <v/>
      </c>
    </row>
    <row r="63" spans="1:33" ht="15.75" thickBot="1" x14ac:dyDescent="0.25">
      <c r="A63" s="48"/>
      <c r="B63" s="31" t="str">
        <f t="shared" ca="1" si="11"/>
        <v/>
      </c>
      <c r="C63" s="29" t="str">
        <f t="shared" ca="1" si="2"/>
        <v>126</v>
      </c>
      <c r="D63" s="29">
        <f t="shared" ref="D63:F73" ca="1" si="15">IFERROR(INDEX($P$3:$V$116,MATCH($C63,$V$3:$V$116,0),MATCH(D$2,$P$3:$V$3,0)),"")</f>
        <v>2142.1999999999998</v>
      </c>
      <c r="E63" s="29">
        <f t="shared" ca="1" si="15"/>
        <v>2488.81</v>
      </c>
      <c r="F63" s="176">
        <f t="shared" ca="1" si="15"/>
        <v>116.18</v>
      </c>
      <c r="H63" s="29">
        <v>61</v>
      </c>
      <c r="I63">
        <f t="shared" si="3"/>
        <v>408.7</v>
      </c>
      <c r="J63">
        <f>((($J$62-$J$72)/($I$62-$I$72))*(I63-$I$62))+$J$62</f>
        <v>1.1540999999999999</v>
      </c>
      <c r="P63" s="76" t="s">
        <v>160</v>
      </c>
      <c r="Q63" s="80" t="s">
        <v>244</v>
      </c>
      <c r="R63" s="78">
        <v>2143.1999999999998</v>
      </c>
      <c r="S63" s="79">
        <v>116.73</v>
      </c>
      <c r="T63" s="78">
        <v>2501.81</v>
      </c>
      <c r="U63" s="80" t="s">
        <v>244</v>
      </c>
      <c r="V63" s="80" t="str">
        <f t="shared" si="4"/>
        <v>125</v>
      </c>
      <c r="W63" t="str">
        <f t="shared" ca="1" si="5"/>
        <v/>
      </c>
      <c r="Y63">
        <v>330</v>
      </c>
      <c r="Z63" s="93" t="e">
        <f>IF(OR($Y63=ROUND(VALUE(Data!$AF$49),-1),$Y63=ROUND(VALUE(Data!$AG$49),-1)),VALUE($Y$12),0)</f>
        <v>#VALUE!</v>
      </c>
      <c r="AA63" s="93" t="e">
        <f>IF(OR($Y63=ROUND(VALUE(Data!$AF$49),-1),$Y63=ROUND(VALUE(Data!$AG$49),-1)),VALUE($Z$12),0)</f>
        <v>#VALUE!</v>
      </c>
      <c r="AB63" s="93" t="str">
        <f>IFERROR(IF(OR($Y63=ROUND(VALUE(Data!$AF$49),-1),$Y63=ROUND(VALUE(Data!$AG$49),-1)),VALUE($Y$11),0),"")</f>
        <v/>
      </c>
      <c r="AC63" s="93" t="str">
        <f>IF($Z$11="","",IF(OR($Y63=ROUND(VALUE(Data!$AF$49),-1),$Y63=ROUND(VALUE(Data!$AG$49),-1)),VALUE($Z$11),0))</f>
        <v/>
      </c>
    </row>
    <row r="64" spans="1:33" ht="15.75" thickBot="1" x14ac:dyDescent="0.25">
      <c r="A64" s="48"/>
      <c r="B64" s="31" t="str">
        <f t="shared" ca="1" si="11"/>
        <v/>
      </c>
      <c r="C64" s="29" t="str">
        <f t="shared" ca="1" si="2"/>
        <v>128</v>
      </c>
      <c r="D64" s="29">
        <f t="shared" ca="1" si="15"/>
        <v>2157.1999999999998</v>
      </c>
      <c r="E64" s="29">
        <f t="shared" ca="1" si="15"/>
        <v>2513.2800000000002</v>
      </c>
      <c r="F64" s="176">
        <f t="shared" ca="1" si="15"/>
        <v>116.51</v>
      </c>
      <c r="H64" s="29">
        <v>62</v>
      </c>
      <c r="I64">
        <f t="shared" si="3"/>
        <v>415.40000000000003</v>
      </c>
      <c r="J64">
        <f t="shared" ref="J64:J71" si="16">((($J$62-$J$72)/($I$62-$I$72))*(I64-$I$62))+$J$62</f>
        <v>1.1552</v>
      </c>
      <c r="P64" s="76" t="s">
        <v>160</v>
      </c>
      <c r="Q64" s="80" t="s">
        <v>245</v>
      </c>
      <c r="R64" s="78">
        <v>2142.1999999999998</v>
      </c>
      <c r="S64" s="79">
        <v>116.18</v>
      </c>
      <c r="T64" s="78">
        <v>2488.81</v>
      </c>
      <c r="U64" s="80" t="s">
        <v>245</v>
      </c>
      <c r="V64" s="80" t="str">
        <f t="shared" si="4"/>
        <v>126</v>
      </c>
      <c r="W64" t="str">
        <f t="shared" ca="1" si="5"/>
        <v/>
      </c>
      <c r="Y64">
        <v>340</v>
      </c>
      <c r="Z64" s="93" t="e">
        <f>IF(OR($Y64=ROUND(VALUE(Data!$AF$49),-1),$Y64=ROUND(VALUE(Data!$AG$49),-1)),VALUE($Y$12),0)</f>
        <v>#VALUE!</v>
      </c>
      <c r="AA64" s="93" t="e">
        <f>IF(OR($Y64=ROUND(VALUE(Data!$AF$49),-1),$Y64=ROUND(VALUE(Data!$AG$49),-1)),VALUE($Z$12),0)</f>
        <v>#VALUE!</v>
      </c>
      <c r="AB64" s="93" t="str">
        <f>IFERROR(IF(OR($Y64=ROUND(VALUE(Data!$AF$49),-1),$Y64=ROUND(VALUE(Data!$AG$49),-1)),VALUE($Y$11),0),"")</f>
        <v/>
      </c>
      <c r="AC64" s="93" t="str">
        <f>IF($Z$11="","",IF(OR($Y64=ROUND(VALUE(Data!$AF$49),-1),$Y64=ROUND(VALUE(Data!$AG$49),-1)),VALUE($Z$11),0))</f>
        <v/>
      </c>
    </row>
    <row r="65" spans="1:29" ht="15.75" thickBot="1" x14ac:dyDescent="0.25">
      <c r="A65" s="48"/>
      <c r="B65" s="31" t="str">
        <f t="shared" ca="1" si="11"/>
        <v/>
      </c>
      <c r="C65" s="29" t="str">
        <f t="shared" ca="1" si="2"/>
        <v>129</v>
      </c>
      <c r="D65" s="29">
        <f t="shared" ca="1" si="15"/>
        <v>2166.1</v>
      </c>
      <c r="E65" s="29">
        <f t="shared" ca="1" si="15"/>
        <v>2512.96</v>
      </c>
      <c r="F65" s="176">
        <f t="shared" ca="1" si="15"/>
        <v>116.01</v>
      </c>
      <c r="H65" s="29">
        <v>63</v>
      </c>
      <c r="I65">
        <f t="shared" si="3"/>
        <v>422.1</v>
      </c>
      <c r="J65">
        <f t="shared" si="16"/>
        <v>1.1563000000000001</v>
      </c>
      <c r="P65" s="76" t="s">
        <v>160</v>
      </c>
      <c r="Q65" s="80" t="s">
        <v>246</v>
      </c>
      <c r="R65" s="78">
        <v>2157.1999999999998</v>
      </c>
      <c r="S65" s="79">
        <v>116.51</v>
      </c>
      <c r="T65" s="78">
        <v>2513.2800000000002</v>
      </c>
      <c r="U65" s="80" t="s">
        <v>246</v>
      </c>
      <c r="V65" s="80" t="str">
        <f t="shared" si="4"/>
        <v>128</v>
      </c>
      <c r="W65" t="str">
        <f t="shared" ref="W65:W73" ca="1" si="17">INDEX($B$3:$C$115,MATCH(V65,$C$3:$C$116,0),1)</f>
        <v/>
      </c>
      <c r="Y65">
        <v>350</v>
      </c>
      <c r="Z65" s="93" t="e">
        <f>IF(OR($Y65=ROUND(VALUE(Data!$AF$49),-1),$Y65=ROUND(VALUE(Data!$AG$49),-1)),VALUE($Y$12),0)</f>
        <v>#VALUE!</v>
      </c>
      <c r="AA65" s="93" t="e">
        <f>IF(OR($Y65=ROUND(VALUE(Data!$AF$49),-1),$Y65=ROUND(VALUE(Data!$AG$49),-1)),VALUE($Z$12),0)</f>
        <v>#VALUE!</v>
      </c>
      <c r="AB65" s="93" t="str">
        <f>IFERROR(IF(OR($Y65=ROUND(VALUE(Data!$AF$49),-1),$Y65=ROUND(VALUE(Data!$AG$49),-1)),VALUE($Y$11),0),"")</f>
        <v/>
      </c>
      <c r="AC65" s="93" t="str">
        <f>IF($Z$11="","",IF(OR($Y65=ROUND(VALUE(Data!$AF$49),-1),$Y65=ROUND(VALUE(Data!$AG$49),-1)),VALUE($Z$11),0))</f>
        <v/>
      </c>
    </row>
    <row r="66" spans="1:29" ht="15.75" thickBot="1" x14ac:dyDescent="0.25">
      <c r="A66" s="48"/>
      <c r="B66" s="31" t="str">
        <f t="shared" ca="1" si="11"/>
        <v/>
      </c>
      <c r="C66" s="29" t="str">
        <f t="shared" ca="1" si="2"/>
        <v>130</v>
      </c>
      <c r="D66" s="29">
        <f t="shared" ca="1" si="15"/>
        <v>2151.1999999999998</v>
      </c>
      <c r="E66" s="29">
        <f t="shared" ca="1" si="15"/>
        <v>2499.9899999999998</v>
      </c>
      <c r="F66" s="176">
        <f t="shared" ca="1" si="15"/>
        <v>116.21</v>
      </c>
      <c r="H66" s="29">
        <v>64</v>
      </c>
      <c r="I66">
        <f t="shared" si="3"/>
        <v>428.8</v>
      </c>
      <c r="J66">
        <f t="shared" si="16"/>
        <v>1.1574</v>
      </c>
      <c r="P66" s="76" t="s">
        <v>160</v>
      </c>
      <c r="Q66" s="80" t="s">
        <v>247</v>
      </c>
      <c r="R66" s="78">
        <v>2166.1</v>
      </c>
      <c r="S66" s="79">
        <v>116.01</v>
      </c>
      <c r="T66" s="78">
        <v>2512.96</v>
      </c>
      <c r="U66" s="80" t="s">
        <v>247</v>
      </c>
      <c r="V66" s="80" t="str">
        <f t="shared" si="4"/>
        <v>129</v>
      </c>
      <c r="W66" t="str">
        <f t="shared" ca="1" si="17"/>
        <v/>
      </c>
      <c r="AA66" s="93"/>
    </row>
    <row r="67" spans="1:29" ht="15.75" thickBot="1" x14ac:dyDescent="0.25">
      <c r="A67" s="48"/>
      <c r="B67" s="31" t="str">
        <f t="shared" ref="B67:B74" ca="1" si="18">IF(D67=MAX($D$3:$D$74),$H$114,IF(F67=MAX($F$3:$F$74),$H$116,IF(F67=MIN($F$3:$F$74),$H$115,"")))</f>
        <v>+++</v>
      </c>
      <c r="C67" s="29" t="str">
        <f t="shared" ca="1" si="2"/>
        <v>131</v>
      </c>
      <c r="D67" s="29">
        <f t="shared" ca="1" si="15"/>
        <v>2127.9</v>
      </c>
      <c r="E67" s="29">
        <f t="shared" ca="1" si="15"/>
        <v>2508.8200000000002</v>
      </c>
      <c r="F67" s="176">
        <f t="shared" ca="1" si="15"/>
        <v>117.9</v>
      </c>
      <c r="H67" s="29">
        <v>65</v>
      </c>
      <c r="I67">
        <f t="shared" si="3"/>
        <v>435.5</v>
      </c>
      <c r="J67">
        <f t="shared" si="16"/>
        <v>1.1585000000000001</v>
      </c>
      <c r="P67" s="76" t="s">
        <v>160</v>
      </c>
      <c r="Q67" s="80" t="s">
        <v>248</v>
      </c>
      <c r="R67" s="78">
        <v>2151.1999999999998</v>
      </c>
      <c r="S67" s="79">
        <v>116.21</v>
      </c>
      <c r="T67" s="78">
        <v>2499.9899999999998</v>
      </c>
      <c r="U67" s="80" t="s">
        <v>248</v>
      </c>
      <c r="V67" s="80" t="str">
        <f t="shared" si="4"/>
        <v>130</v>
      </c>
      <c r="W67" t="str">
        <f t="shared" ca="1" si="17"/>
        <v/>
      </c>
      <c r="AA67" s="93"/>
    </row>
    <row r="68" spans="1:29" ht="15.75" thickBot="1" x14ac:dyDescent="0.25">
      <c r="A68" s="48"/>
      <c r="B68" s="31" t="str">
        <f t="shared" ca="1" si="18"/>
        <v/>
      </c>
      <c r="C68" s="29" t="str">
        <f t="shared" ref="C68:C74" ca="1" si="19">IF(LEFT($A$3,6) = INDEX($P$4:$P$114,ROW(A68)+1-ROW($A$3),1),IF(LEFT(OFFSET(INDIRECT("P"&amp;MATCH(LEFT($A$3,6),$P$1:$P$114,0),TRUE),ROW()-ROW($A$3),5),1)="0",
MID(LEFT(OFFSET(INDIRECT("P"&amp;MATCH(LEFT($A$3,6),$P$1:$P$114,0),TRUE),ROW()-ROW($A$3),5),3),2,2),
LEFT(OFFSET(INDIRECT("P"&amp;MATCH(LEFT($A$3,6),$P$1:$P$114,0),TRUE),ROW()-ROW($A$3),5),3)),"")</f>
        <v>133</v>
      </c>
      <c r="D68" s="29">
        <f t="shared" ca="1" si="15"/>
        <v>2157.1999999999998</v>
      </c>
      <c r="E68" s="29">
        <f t="shared" ca="1" si="15"/>
        <v>2507.56</v>
      </c>
      <c r="F68" s="176">
        <f t="shared" ca="1" si="15"/>
        <v>116.24</v>
      </c>
      <c r="H68" s="29">
        <v>66</v>
      </c>
      <c r="I68">
        <f t="shared" ref="I68:I74" si="20">H68*6.7</f>
        <v>442.2</v>
      </c>
      <c r="J68">
        <f t="shared" si="16"/>
        <v>1.1596</v>
      </c>
      <c r="P68" s="76" t="s">
        <v>160</v>
      </c>
      <c r="Q68" s="80" t="s">
        <v>249</v>
      </c>
      <c r="R68" s="78">
        <v>2127.9</v>
      </c>
      <c r="S68" s="79">
        <v>117.9</v>
      </c>
      <c r="T68" s="78">
        <v>2508.8200000000002</v>
      </c>
      <c r="U68" s="80" t="s">
        <v>249</v>
      </c>
      <c r="V68" s="80" t="str">
        <f t="shared" si="4"/>
        <v>131</v>
      </c>
      <c r="W68" t="str">
        <f t="shared" ca="1" si="17"/>
        <v>+++</v>
      </c>
      <c r="AA68" s="93"/>
    </row>
    <row r="69" spans="1:29" ht="15.75" thickBot="1" x14ac:dyDescent="0.25">
      <c r="A69" s="48"/>
      <c r="B69" s="31" t="str">
        <f t="shared" ca="1" si="18"/>
        <v/>
      </c>
      <c r="C69" s="29" t="str">
        <f t="shared" ca="1" si="19"/>
        <v>134</v>
      </c>
      <c r="D69" s="29">
        <f t="shared" ca="1" si="15"/>
        <v>2143.1999999999998</v>
      </c>
      <c r="E69" s="29">
        <f t="shared" ca="1" si="15"/>
        <v>2484.9699999999998</v>
      </c>
      <c r="F69" s="176">
        <f t="shared" ca="1" si="15"/>
        <v>115.95</v>
      </c>
      <c r="H69" s="29">
        <v>67</v>
      </c>
      <c r="I69">
        <f t="shared" si="20"/>
        <v>448.90000000000003</v>
      </c>
      <c r="J69">
        <f t="shared" si="16"/>
        <v>1.1607000000000001</v>
      </c>
      <c r="P69" s="76" t="s">
        <v>160</v>
      </c>
      <c r="Q69" s="80" t="s">
        <v>250</v>
      </c>
      <c r="R69" s="78">
        <v>2157.1999999999998</v>
      </c>
      <c r="S69" s="79">
        <v>116.24</v>
      </c>
      <c r="T69" s="78">
        <v>2507.56</v>
      </c>
      <c r="U69" s="80" t="s">
        <v>250</v>
      </c>
      <c r="V69" s="80" t="str">
        <f t="shared" ref="V69:V73" si="21">IF(LEFT(U69,1)="0",MID(U69,2,2),LEFT(U69,3))</f>
        <v>133</v>
      </c>
      <c r="W69" t="str">
        <f t="shared" ca="1" si="17"/>
        <v/>
      </c>
      <c r="AA69" s="93"/>
    </row>
    <row r="70" spans="1:29" ht="15.75" thickBot="1" x14ac:dyDescent="0.25">
      <c r="A70" s="48"/>
      <c r="B70" s="31" t="str">
        <f t="shared" ca="1" si="18"/>
        <v/>
      </c>
      <c r="C70" s="29" t="str">
        <f t="shared" ca="1" si="19"/>
        <v>135</v>
      </c>
      <c r="D70" s="29">
        <f t="shared" ca="1" si="15"/>
        <v>2159.5</v>
      </c>
      <c r="E70" s="29">
        <f t="shared" ca="1" si="15"/>
        <v>2508.5300000000002</v>
      </c>
      <c r="F70" s="176">
        <f t="shared" ca="1" si="15"/>
        <v>116.16</v>
      </c>
      <c r="H70" s="29">
        <v>68</v>
      </c>
      <c r="I70">
        <f t="shared" si="20"/>
        <v>455.6</v>
      </c>
      <c r="J70">
        <f t="shared" si="16"/>
        <v>1.1617999999999999</v>
      </c>
      <c r="P70" s="76" t="s">
        <v>160</v>
      </c>
      <c r="Q70" s="80" t="s">
        <v>251</v>
      </c>
      <c r="R70" s="78">
        <v>2143.1999999999998</v>
      </c>
      <c r="S70" s="79">
        <v>115.95</v>
      </c>
      <c r="T70" s="78">
        <v>2484.9699999999998</v>
      </c>
      <c r="U70" s="80" t="s">
        <v>251</v>
      </c>
      <c r="V70" s="80" t="str">
        <f t="shared" si="21"/>
        <v>134</v>
      </c>
      <c r="W70" t="str">
        <f t="shared" ca="1" si="17"/>
        <v/>
      </c>
      <c r="AA70" s="93"/>
    </row>
    <row r="71" spans="1:29" ht="15.75" thickBot="1" x14ac:dyDescent="0.25">
      <c r="A71" s="48"/>
      <c r="B71" s="31" t="str">
        <f t="shared" ca="1" si="18"/>
        <v/>
      </c>
      <c r="C71" s="29" t="str">
        <f t="shared" ca="1" si="19"/>
        <v>136</v>
      </c>
      <c r="D71" s="29">
        <f t="shared" ca="1" si="15"/>
        <v>2155.6999999999998</v>
      </c>
      <c r="E71" s="29">
        <f t="shared" ca="1" si="15"/>
        <v>2511.5700000000002</v>
      </c>
      <c r="F71" s="176">
        <f t="shared" ca="1" si="15"/>
        <v>116.51</v>
      </c>
      <c r="H71" s="29">
        <v>69</v>
      </c>
      <c r="I71">
        <f t="shared" si="20"/>
        <v>462.3</v>
      </c>
      <c r="J71">
        <f t="shared" si="16"/>
        <v>1.1629</v>
      </c>
      <c r="P71" s="76" t="s">
        <v>160</v>
      </c>
      <c r="Q71" s="80" t="s">
        <v>252</v>
      </c>
      <c r="R71" s="78">
        <v>2159.5</v>
      </c>
      <c r="S71" s="79">
        <v>116.16</v>
      </c>
      <c r="T71" s="78">
        <v>2508.5300000000002</v>
      </c>
      <c r="U71" s="80" t="s">
        <v>252</v>
      </c>
      <c r="V71" s="80" t="str">
        <f t="shared" si="21"/>
        <v>135</v>
      </c>
      <c r="W71" t="str">
        <f t="shared" ca="1" si="17"/>
        <v/>
      </c>
      <c r="AA71" s="93"/>
    </row>
    <row r="72" spans="1:29" ht="15.75" thickBot="1" x14ac:dyDescent="0.25">
      <c r="A72" s="48"/>
      <c r="B72" s="31" t="str">
        <f t="shared" ca="1" si="18"/>
        <v/>
      </c>
      <c r="C72" s="29" t="str">
        <f t="shared" ca="1" si="19"/>
        <v>137</v>
      </c>
      <c r="D72" s="29">
        <f t="shared" ca="1" si="15"/>
        <v>2140.3000000000002</v>
      </c>
      <c r="E72" s="29">
        <f t="shared" ca="1" si="15"/>
        <v>2484.8000000000002</v>
      </c>
      <c r="F72" s="176">
        <f t="shared" ca="1" si="15"/>
        <v>116.09</v>
      </c>
      <c r="H72" s="29">
        <v>70</v>
      </c>
      <c r="I72">
        <f t="shared" si="20"/>
        <v>469</v>
      </c>
      <c r="J72" s="29">
        <v>1.1639999999999999</v>
      </c>
      <c r="P72" s="76" t="s">
        <v>160</v>
      </c>
      <c r="Q72" s="80" t="s">
        <v>253</v>
      </c>
      <c r="R72" s="78">
        <v>2155.6999999999998</v>
      </c>
      <c r="S72" s="79">
        <v>116.51</v>
      </c>
      <c r="T72" s="78">
        <v>2511.5700000000002</v>
      </c>
      <c r="U72" s="80" t="s">
        <v>253</v>
      </c>
      <c r="V72" s="80" t="str">
        <f t="shared" si="21"/>
        <v>136</v>
      </c>
      <c r="W72" t="str">
        <f t="shared" ca="1" si="17"/>
        <v/>
      </c>
      <c r="AA72" s="93"/>
    </row>
    <row r="73" spans="1:29" ht="15.75" thickBot="1" x14ac:dyDescent="0.25">
      <c r="A73" s="48"/>
      <c r="B73" s="31" t="str">
        <f t="shared" ca="1" si="18"/>
        <v/>
      </c>
      <c r="C73" s="29" t="str">
        <f t="shared" ca="1" si="19"/>
        <v/>
      </c>
      <c r="D73" s="29" t="str">
        <f t="shared" ca="1" si="15"/>
        <v/>
      </c>
      <c r="E73" s="29" t="str">
        <f t="shared" ca="1" si="15"/>
        <v/>
      </c>
      <c r="F73" s="176" t="str">
        <f t="shared" ca="1" si="15"/>
        <v/>
      </c>
      <c r="H73" s="29">
        <v>71</v>
      </c>
      <c r="I73">
        <f t="shared" si="20"/>
        <v>475.7</v>
      </c>
      <c r="J73">
        <f>((($J$72-$J$82)/($I$72-$I$82))*(I73-$I$72))+$J$72</f>
        <v>1.1647999999999998</v>
      </c>
      <c r="P73" s="76" t="s">
        <v>160</v>
      </c>
      <c r="Q73" s="80" t="s">
        <v>254</v>
      </c>
      <c r="R73" s="78">
        <v>2140.3000000000002</v>
      </c>
      <c r="S73" s="79">
        <v>116.09</v>
      </c>
      <c r="T73" s="78">
        <v>2484.8000000000002</v>
      </c>
      <c r="U73" s="80" t="s">
        <v>254</v>
      </c>
      <c r="V73" s="80" t="str">
        <f t="shared" si="21"/>
        <v>137</v>
      </c>
      <c r="W73" t="str">
        <f t="shared" ca="1" si="17"/>
        <v/>
      </c>
      <c r="AA73" s="93"/>
    </row>
    <row r="74" spans="1:29" ht="15.75" thickBot="1" x14ac:dyDescent="0.25">
      <c r="A74" s="49"/>
      <c r="B74" s="177" t="str">
        <f t="shared" ca="1" si="18"/>
        <v/>
      </c>
      <c r="C74" s="178" t="str">
        <f t="shared" ca="1" si="19"/>
        <v/>
      </c>
      <c r="D74" s="178"/>
      <c r="E74" s="178"/>
      <c r="F74" s="179"/>
      <c r="H74" s="29">
        <v>72</v>
      </c>
      <c r="I74">
        <f t="shared" si="20"/>
        <v>482.40000000000003</v>
      </c>
      <c r="J74">
        <f t="shared" ref="J74:J81" si="22">((($J$72-$J$82)/($I$72-$I$82))*(I74-$I$72))+$J$72</f>
        <v>1.1656</v>
      </c>
      <c r="P74" s="76" t="s">
        <v>162</v>
      </c>
      <c r="Q74" s="80" t="s">
        <v>255</v>
      </c>
      <c r="R74" s="78">
        <v>1984.2</v>
      </c>
      <c r="S74" s="79">
        <v>118.33</v>
      </c>
      <c r="T74" s="78">
        <v>2347.98</v>
      </c>
      <c r="U74" s="80" t="s">
        <v>255</v>
      </c>
      <c r="V74" s="80" t="str">
        <f t="shared" ref="V74:V110" si="23">IF(LEFT(U74,1)="0",MID(U74,2,2),LEFT(U74,3))</f>
        <v>140</v>
      </c>
      <c r="W74" t="str">
        <f t="shared" ref="W74:W110" ca="1" si="24">INDEX($B$3:$C$115,MATCH(V74,$C$3:$C$116,0),1)</f>
        <v/>
      </c>
      <c r="AA74" s="93"/>
    </row>
    <row r="75" spans="1:29" ht="15.75" thickBot="1" x14ac:dyDescent="0.25">
      <c r="A75" s="171" t="s">
        <v>65</v>
      </c>
      <c r="B75" s="172" t="str">
        <f ca="1">IF(D75=MAX($D$75:$D$115),$H$114,IF(F75=MAX($F$75:$F$115),$H$116,IF(F75=MIN($F$75:$F$115),$H$115,"")))</f>
        <v/>
      </c>
      <c r="C75" s="173" t="str">
        <f t="shared" ref="C75:C114" ca="1" si="25">IFERROR(IF(LEFT($A$75,6) = INDEX($P$4:$P$114,ROW(A75)-ROW($A$3),1),IF(LEFT(OFFSET(INDIRECT("P"&amp;MATCH(LEFT($A$75,6),$P$1:$P$114,0),TRUE),ROW()-ROW($A$75),5),1)="0",
MID(LEFT(OFFSET(INDIRECT("P"&amp;MATCH(LEFT($A$75,6),$P$1:$P$114,0),TRUE),ROW()-ROW($A$75),5),3),2,2),
LEFT(OFFSET(INDIRECT("P"&amp;MATCH(LEFT($A$75,6),$P$1:$P$114,0),TRUE),ROW()-ROW($A$75),5),3)),""),"")</f>
        <v>140</v>
      </c>
      <c r="D75" s="173">
        <f t="shared" ref="D75:F94" ca="1" si="26">IFERROR(INDEX($P$3:$V$116,MATCH($C75,$V$3:$V$116,0),MATCH(D$2,$P$3:$V$3,0)),"")</f>
        <v>1984.2</v>
      </c>
      <c r="E75" s="173">
        <f t="shared" ca="1" si="26"/>
        <v>2347.98</v>
      </c>
      <c r="F75" s="174">
        <f t="shared" ca="1" si="26"/>
        <v>118.33</v>
      </c>
      <c r="H75" s="29">
        <v>73</v>
      </c>
      <c r="I75">
        <f t="shared" ref="I75:I93" si="27">H75*6.7</f>
        <v>489.1</v>
      </c>
      <c r="J75">
        <f t="shared" si="22"/>
        <v>1.1663999999999999</v>
      </c>
      <c r="L75" t="str">
        <f ca="1">LEFT(OFFSET(INDIRECT("P"&amp;MATCH(LEFT(A75,6),P1:P114,0),TRUE),0,5),3)</f>
        <v>140</v>
      </c>
      <c r="P75" s="76" t="s">
        <v>162</v>
      </c>
      <c r="Q75" s="80" t="s">
        <v>256</v>
      </c>
      <c r="R75" s="78">
        <v>1979.5</v>
      </c>
      <c r="S75" s="79">
        <v>118.36</v>
      </c>
      <c r="T75" s="78">
        <v>2342.89</v>
      </c>
      <c r="U75" s="80" t="s">
        <v>256</v>
      </c>
      <c r="V75" s="80" t="str">
        <f t="shared" si="23"/>
        <v>141</v>
      </c>
      <c r="W75" t="str">
        <f t="shared" ca="1" si="24"/>
        <v/>
      </c>
      <c r="AA75" s="93"/>
    </row>
    <row r="76" spans="1:29" ht="15.75" thickBot="1" x14ac:dyDescent="0.25">
      <c r="A76" s="175" t="s">
        <v>57</v>
      </c>
      <c r="B76" s="31" t="str">
        <f t="shared" ref="B76:B116" ca="1" si="28">IF(D76=MAX($D$75:$D$115),$H$114,IF(F76=MAX($F$75:$F$115),$H$116,IF(F76=MIN($F$75:$F$115),$H$115,"")))</f>
        <v/>
      </c>
      <c r="C76" s="183" t="str">
        <f t="shared" ca="1" si="25"/>
        <v>141</v>
      </c>
      <c r="D76" s="29">
        <f t="shared" ca="1" si="26"/>
        <v>1979.5</v>
      </c>
      <c r="E76" s="29">
        <f t="shared" ca="1" si="26"/>
        <v>2342.89</v>
      </c>
      <c r="F76" s="176">
        <f t="shared" ca="1" si="26"/>
        <v>118.36</v>
      </c>
      <c r="H76" s="29">
        <v>74</v>
      </c>
      <c r="I76">
        <f t="shared" si="27"/>
        <v>495.8</v>
      </c>
      <c r="J76">
        <f t="shared" si="22"/>
        <v>1.1672</v>
      </c>
      <c r="P76" s="76" t="s">
        <v>162</v>
      </c>
      <c r="Q76" s="80" t="s">
        <v>257</v>
      </c>
      <c r="R76" s="78">
        <v>1972.1</v>
      </c>
      <c r="S76" s="79">
        <v>117.88</v>
      </c>
      <c r="T76" s="78">
        <v>2324.7800000000002</v>
      </c>
      <c r="U76" s="80" t="s">
        <v>257</v>
      </c>
      <c r="V76" s="80" t="str">
        <f t="shared" si="23"/>
        <v>142</v>
      </c>
      <c r="W76" t="str">
        <f t="shared" ca="1" si="24"/>
        <v/>
      </c>
      <c r="AA76" s="93"/>
    </row>
    <row r="77" spans="1:29" ht="15.75" thickBot="1" x14ac:dyDescent="0.25">
      <c r="A77" s="48"/>
      <c r="B77" s="31" t="str">
        <f t="shared" ca="1" si="28"/>
        <v/>
      </c>
      <c r="C77" s="29" t="str">
        <f t="shared" ca="1" si="25"/>
        <v>142</v>
      </c>
      <c r="D77" s="29">
        <f t="shared" ca="1" si="26"/>
        <v>1972.1</v>
      </c>
      <c r="E77" s="29">
        <f t="shared" ca="1" si="26"/>
        <v>2324.7800000000002</v>
      </c>
      <c r="F77" s="176">
        <f t="shared" ca="1" si="26"/>
        <v>117.88</v>
      </c>
      <c r="H77" s="29">
        <v>75</v>
      </c>
      <c r="I77">
        <f t="shared" si="27"/>
        <v>502.5</v>
      </c>
      <c r="J77">
        <f t="shared" si="22"/>
        <v>1.1679999999999999</v>
      </c>
      <c r="P77" s="76" t="s">
        <v>162</v>
      </c>
      <c r="Q77" s="80" t="s">
        <v>258</v>
      </c>
      <c r="R77" s="78">
        <v>1986.5</v>
      </c>
      <c r="S77" s="79">
        <v>118</v>
      </c>
      <c r="T77" s="78">
        <v>2344.0700000000002</v>
      </c>
      <c r="U77" s="80" t="s">
        <v>258</v>
      </c>
      <c r="V77" s="80" t="str">
        <f t="shared" si="23"/>
        <v>143</v>
      </c>
      <c r="W77" t="str">
        <f t="shared" ca="1" si="24"/>
        <v/>
      </c>
      <c r="AA77" s="93"/>
    </row>
    <row r="78" spans="1:29" ht="15.75" thickBot="1" x14ac:dyDescent="0.25">
      <c r="A78" s="48"/>
      <c r="B78" s="31" t="str">
        <f t="shared" ca="1" si="28"/>
        <v/>
      </c>
      <c r="C78" s="29" t="str">
        <f t="shared" ca="1" si="25"/>
        <v>143</v>
      </c>
      <c r="D78" s="29">
        <f t="shared" ca="1" si="26"/>
        <v>1986.5</v>
      </c>
      <c r="E78" s="29">
        <f t="shared" ca="1" si="26"/>
        <v>2344.0700000000002</v>
      </c>
      <c r="F78" s="176">
        <f t="shared" ca="1" si="26"/>
        <v>118</v>
      </c>
      <c r="H78" s="29">
        <v>76</v>
      </c>
      <c r="I78">
        <f t="shared" si="27"/>
        <v>509.2</v>
      </c>
      <c r="J78">
        <f t="shared" si="22"/>
        <v>1.1687999999999998</v>
      </c>
      <c r="P78" s="76" t="s">
        <v>162</v>
      </c>
      <c r="Q78" s="80" t="s">
        <v>259</v>
      </c>
      <c r="R78" s="78">
        <v>1964</v>
      </c>
      <c r="S78" s="79">
        <v>118.67</v>
      </c>
      <c r="T78" s="78">
        <v>2330.6</v>
      </c>
      <c r="U78" s="80" t="s">
        <v>259</v>
      </c>
      <c r="V78" s="80" t="str">
        <f t="shared" si="23"/>
        <v>144</v>
      </c>
      <c r="W78" t="str">
        <f t="shared" ca="1" si="24"/>
        <v/>
      </c>
      <c r="AA78" s="93"/>
    </row>
    <row r="79" spans="1:29" ht="15.75" thickBot="1" x14ac:dyDescent="0.25">
      <c r="A79" s="48"/>
      <c r="B79" s="31" t="str">
        <f t="shared" ca="1" si="28"/>
        <v/>
      </c>
      <c r="C79" s="29" t="str">
        <f t="shared" ca="1" si="25"/>
        <v>144</v>
      </c>
      <c r="D79" s="29">
        <f t="shared" ca="1" si="26"/>
        <v>1964</v>
      </c>
      <c r="E79" s="29">
        <f t="shared" ca="1" si="26"/>
        <v>2330.6</v>
      </c>
      <c r="F79" s="176">
        <f t="shared" ca="1" si="26"/>
        <v>118.67</v>
      </c>
      <c r="H79" s="29">
        <v>77</v>
      </c>
      <c r="I79">
        <f t="shared" si="27"/>
        <v>515.9</v>
      </c>
      <c r="J79">
        <f t="shared" si="22"/>
        <v>1.1696</v>
      </c>
      <c r="P79" s="76" t="s">
        <v>162</v>
      </c>
      <c r="Q79" s="80" t="s">
        <v>260</v>
      </c>
      <c r="R79" s="78">
        <v>2012.5</v>
      </c>
      <c r="S79" s="79">
        <v>117.1</v>
      </c>
      <c r="T79" s="78">
        <v>2356.73</v>
      </c>
      <c r="U79" s="80" t="s">
        <v>260</v>
      </c>
      <c r="V79" s="80" t="str">
        <f t="shared" si="23"/>
        <v>146</v>
      </c>
      <c r="W79" t="str">
        <f t="shared" ca="1" si="24"/>
        <v>++</v>
      </c>
      <c r="AA79" s="93"/>
    </row>
    <row r="80" spans="1:29" ht="15.75" thickBot="1" x14ac:dyDescent="0.25">
      <c r="A80" s="48"/>
      <c r="B80" s="31" t="str">
        <f t="shared" ca="1" si="28"/>
        <v>++</v>
      </c>
      <c r="C80" s="29" t="str">
        <f t="shared" ca="1" si="25"/>
        <v>146</v>
      </c>
      <c r="D80" s="29">
        <f t="shared" ca="1" si="26"/>
        <v>2012.5</v>
      </c>
      <c r="E80" s="29">
        <f t="shared" ca="1" si="26"/>
        <v>2356.73</v>
      </c>
      <c r="F80" s="176">
        <f t="shared" ca="1" si="26"/>
        <v>117.1</v>
      </c>
      <c r="H80" s="29">
        <v>78</v>
      </c>
      <c r="I80">
        <f t="shared" si="27"/>
        <v>522.6</v>
      </c>
      <c r="J80">
        <f t="shared" si="22"/>
        <v>1.1703999999999999</v>
      </c>
      <c r="P80" s="76" t="s">
        <v>162</v>
      </c>
      <c r="Q80" s="80" t="s">
        <v>261</v>
      </c>
      <c r="R80" s="78">
        <v>1995.6</v>
      </c>
      <c r="S80" s="79">
        <v>117.76</v>
      </c>
      <c r="T80" s="78">
        <v>2350.04</v>
      </c>
      <c r="U80" s="80" t="s">
        <v>261</v>
      </c>
      <c r="V80" s="80" t="str">
        <f t="shared" si="23"/>
        <v>147</v>
      </c>
      <c r="W80" t="str">
        <f t="shared" ca="1" si="24"/>
        <v/>
      </c>
      <c r="AA80" s="93"/>
    </row>
    <row r="81" spans="1:27" ht="15.75" thickBot="1" x14ac:dyDescent="0.25">
      <c r="A81" s="48"/>
      <c r="B81" s="31" t="str">
        <f t="shared" ca="1" si="28"/>
        <v/>
      </c>
      <c r="C81" s="29" t="str">
        <f t="shared" ca="1" si="25"/>
        <v>147</v>
      </c>
      <c r="D81" s="29">
        <f t="shared" ca="1" si="26"/>
        <v>1995.6</v>
      </c>
      <c r="E81" s="29">
        <f t="shared" ca="1" si="26"/>
        <v>2350.04</v>
      </c>
      <c r="F81" s="176">
        <f t="shared" ca="1" si="26"/>
        <v>117.76</v>
      </c>
      <c r="H81" s="29">
        <v>79</v>
      </c>
      <c r="I81">
        <f t="shared" si="27"/>
        <v>529.30000000000007</v>
      </c>
      <c r="J81">
        <f t="shared" si="22"/>
        <v>1.1712</v>
      </c>
      <c r="P81" s="76" t="s">
        <v>162</v>
      </c>
      <c r="Q81" s="80" t="s">
        <v>262</v>
      </c>
      <c r="R81" s="78">
        <v>1986.8</v>
      </c>
      <c r="S81" s="79">
        <v>118.77</v>
      </c>
      <c r="T81" s="78">
        <v>2359.6999999999998</v>
      </c>
      <c r="U81" s="80" t="s">
        <v>262</v>
      </c>
      <c r="V81" s="80" t="str">
        <f t="shared" si="23"/>
        <v>148</v>
      </c>
      <c r="W81" t="str">
        <f t="shared" ca="1" si="24"/>
        <v/>
      </c>
      <c r="AA81" s="93"/>
    </row>
    <row r="82" spans="1:27" ht="15.75" thickBot="1" x14ac:dyDescent="0.25">
      <c r="A82" s="48"/>
      <c r="B82" s="31" t="str">
        <f t="shared" ca="1" si="28"/>
        <v/>
      </c>
      <c r="C82" s="29" t="str">
        <f t="shared" ca="1" si="25"/>
        <v>148</v>
      </c>
      <c r="D82" s="29">
        <f t="shared" ca="1" si="26"/>
        <v>1986.8</v>
      </c>
      <c r="E82" s="29">
        <f t="shared" ca="1" si="26"/>
        <v>2359.6999999999998</v>
      </c>
      <c r="F82" s="176">
        <f t="shared" ca="1" si="26"/>
        <v>118.77</v>
      </c>
      <c r="H82" s="29">
        <v>80</v>
      </c>
      <c r="I82">
        <f t="shared" si="27"/>
        <v>536</v>
      </c>
      <c r="J82" s="29">
        <v>1.1719999999999999</v>
      </c>
      <c r="P82" s="76" t="s">
        <v>162</v>
      </c>
      <c r="Q82" s="80" t="s">
        <v>263</v>
      </c>
      <c r="R82" s="78">
        <v>1977.7</v>
      </c>
      <c r="S82" s="79">
        <v>118.83</v>
      </c>
      <c r="T82" s="78">
        <v>2350.0100000000002</v>
      </c>
      <c r="U82" s="80" t="s">
        <v>263</v>
      </c>
      <c r="V82" s="80" t="str">
        <f t="shared" si="23"/>
        <v>149</v>
      </c>
      <c r="W82" t="str">
        <f t="shared" ca="1" si="24"/>
        <v/>
      </c>
      <c r="AA82" s="93"/>
    </row>
    <row r="83" spans="1:27" ht="15.75" thickBot="1" x14ac:dyDescent="0.25">
      <c r="A83" s="48"/>
      <c r="B83" s="31" t="str">
        <f t="shared" ca="1" si="28"/>
        <v/>
      </c>
      <c r="C83" s="29" t="str">
        <f t="shared" ca="1" si="25"/>
        <v>149</v>
      </c>
      <c r="D83" s="29">
        <f t="shared" ca="1" si="26"/>
        <v>1977.7</v>
      </c>
      <c r="E83" s="29">
        <f t="shared" ca="1" si="26"/>
        <v>2350.0100000000002</v>
      </c>
      <c r="F83" s="176">
        <f t="shared" ca="1" si="26"/>
        <v>118.83</v>
      </c>
      <c r="H83" s="29">
        <v>81</v>
      </c>
      <c r="I83">
        <f t="shared" si="27"/>
        <v>542.70000000000005</v>
      </c>
      <c r="J83">
        <f>((($J$82-$J$92)/($I$82-$I$92))*(I83-$I$82))+$J$82</f>
        <v>1.1726999999999999</v>
      </c>
      <c r="P83" s="76" t="s">
        <v>162</v>
      </c>
      <c r="Q83" s="80" t="s">
        <v>264</v>
      </c>
      <c r="R83" s="78">
        <v>1986.1</v>
      </c>
      <c r="S83" s="79">
        <v>118.78</v>
      </c>
      <c r="T83" s="78">
        <v>2359.11</v>
      </c>
      <c r="U83" s="80" t="s">
        <v>264</v>
      </c>
      <c r="V83" s="80" t="str">
        <f t="shared" si="23"/>
        <v>150</v>
      </c>
      <c r="W83" t="str">
        <f t="shared" ca="1" si="24"/>
        <v/>
      </c>
      <c r="AA83" s="93"/>
    </row>
    <row r="84" spans="1:27" ht="15.75" thickBot="1" x14ac:dyDescent="0.25">
      <c r="A84" s="48"/>
      <c r="B84" s="31" t="str">
        <f t="shared" ca="1" si="28"/>
        <v/>
      </c>
      <c r="C84" s="29" t="str">
        <f t="shared" ca="1" si="25"/>
        <v>150</v>
      </c>
      <c r="D84" s="29">
        <f t="shared" ca="1" si="26"/>
        <v>1986.1</v>
      </c>
      <c r="E84" s="29">
        <f t="shared" ca="1" si="26"/>
        <v>2359.11</v>
      </c>
      <c r="F84" s="176">
        <f t="shared" ca="1" si="26"/>
        <v>118.78</v>
      </c>
      <c r="H84" s="29">
        <v>82</v>
      </c>
      <c r="I84">
        <f t="shared" si="27"/>
        <v>549.4</v>
      </c>
      <c r="J84">
        <f t="shared" ref="J84:J91" si="29">((($J$82-$J$92)/($I$82-$I$92))*(I84-$I$82))+$J$82</f>
        <v>1.1734</v>
      </c>
      <c r="P84" s="76" t="s">
        <v>162</v>
      </c>
      <c r="Q84" s="80" t="s">
        <v>265</v>
      </c>
      <c r="R84" s="78">
        <v>2010.5</v>
      </c>
      <c r="S84" s="79">
        <v>118.41</v>
      </c>
      <c r="T84" s="78">
        <v>2380.56</v>
      </c>
      <c r="U84" s="80" t="s">
        <v>265</v>
      </c>
      <c r="V84" s="80" t="str">
        <f t="shared" si="23"/>
        <v>153</v>
      </c>
      <c r="W84" t="str">
        <f t="shared" ca="1" si="24"/>
        <v/>
      </c>
      <c r="AA84" s="93"/>
    </row>
    <row r="85" spans="1:27" ht="15.75" thickBot="1" x14ac:dyDescent="0.25">
      <c r="A85" s="48"/>
      <c r="B85" s="31" t="str">
        <f t="shared" ca="1" si="28"/>
        <v/>
      </c>
      <c r="C85" s="29" t="str">
        <f t="shared" ca="1" si="25"/>
        <v>153</v>
      </c>
      <c r="D85" s="29">
        <f t="shared" ca="1" si="26"/>
        <v>2010.5</v>
      </c>
      <c r="E85" s="29">
        <f t="shared" ca="1" si="26"/>
        <v>2380.56</v>
      </c>
      <c r="F85" s="176">
        <f t="shared" ca="1" si="26"/>
        <v>118.41</v>
      </c>
      <c r="H85" s="29">
        <v>83</v>
      </c>
      <c r="I85">
        <f t="shared" si="27"/>
        <v>556.1</v>
      </c>
      <c r="J85">
        <f t="shared" si="29"/>
        <v>1.1740999999999999</v>
      </c>
      <c r="P85" s="76" t="s">
        <v>162</v>
      </c>
      <c r="Q85" s="80" t="s">
        <v>266</v>
      </c>
      <c r="R85" s="78">
        <v>2030</v>
      </c>
      <c r="S85" s="79">
        <v>117.57</v>
      </c>
      <c r="T85" s="78">
        <v>2386.59</v>
      </c>
      <c r="U85" s="80" t="s">
        <v>266</v>
      </c>
      <c r="V85" s="80" t="str">
        <f t="shared" si="23"/>
        <v>154</v>
      </c>
      <c r="W85" t="str">
        <f t="shared" ca="1" si="24"/>
        <v/>
      </c>
      <c r="AA85" s="93"/>
    </row>
    <row r="86" spans="1:27" ht="15.75" thickBot="1" x14ac:dyDescent="0.25">
      <c r="A86" s="48"/>
      <c r="B86" s="31" t="str">
        <f t="shared" ca="1" si="28"/>
        <v/>
      </c>
      <c r="C86" s="29" t="str">
        <f t="shared" ca="1" si="25"/>
        <v>154</v>
      </c>
      <c r="D86" s="29">
        <f t="shared" ca="1" si="26"/>
        <v>2030</v>
      </c>
      <c r="E86" s="29">
        <f t="shared" ca="1" si="26"/>
        <v>2386.59</v>
      </c>
      <c r="F86" s="176">
        <f t="shared" ca="1" si="26"/>
        <v>117.57</v>
      </c>
      <c r="H86" s="29">
        <v>84</v>
      </c>
      <c r="I86">
        <f t="shared" si="27"/>
        <v>562.80000000000007</v>
      </c>
      <c r="J86">
        <f t="shared" si="29"/>
        <v>1.1748000000000001</v>
      </c>
      <c r="P86" s="76" t="s">
        <v>162</v>
      </c>
      <c r="Q86" s="80" t="s">
        <v>267</v>
      </c>
      <c r="R86" s="78">
        <v>1983.1</v>
      </c>
      <c r="S86" s="79">
        <v>119.1</v>
      </c>
      <c r="T86" s="78">
        <v>2361.8200000000002</v>
      </c>
      <c r="U86" s="80" t="s">
        <v>267</v>
      </c>
      <c r="V86" s="80" t="str">
        <f t="shared" si="23"/>
        <v>155</v>
      </c>
      <c r="W86" t="str">
        <f t="shared" ca="1" si="24"/>
        <v/>
      </c>
      <c r="AA86" s="93"/>
    </row>
    <row r="87" spans="1:27" ht="15.75" thickBot="1" x14ac:dyDescent="0.25">
      <c r="A87" s="48"/>
      <c r="B87" s="31" t="str">
        <f t="shared" ca="1" si="28"/>
        <v/>
      </c>
      <c r="C87" s="29" t="str">
        <f t="shared" ca="1" si="25"/>
        <v>155</v>
      </c>
      <c r="D87" s="29">
        <f t="shared" ca="1" si="26"/>
        <v>1983.1</v>
      </c>
      <c r="E87" s="29">
        <f t="shared" ca="1" si="26"/>
        <v>2361.8200000000002</v>
      </c>
      <c r="F87" s="176">
        <f t="shared" ca="1" si="26"/>
        <v>119.1</v>
      </c>
      <c r="H87" s="29">
        <v>85</v>
      </c>
      <c r="I87">
        <f t="shared" si="27"/>
        <v>569.5</v>
      </c>
      <c r="J87">
        <f t="shared" si="29"/>
        <v>1.1755</v>
      </c>
      <c r="P87" s="76" t="s">
        <v>162</v>
      </c>
      <c r="Q87" s="80" t="s">
        <v>268</v>
      </c>
      <c r="R87" s="78">
        <v>2022.5</v>
      </c>
      <c r="S87" s="79">
        <v>118.8</v>
      </c>
      <c r="T87" s="78">
        <v>2402.79</v>
      </c>
      <c r="U87" s="80" t="s">
        <v>268</v>
      </c>
      <c r="V87" s="80" t="str">
        <f t="shared" si="23"/>
        <v>157</v>
      </c>
      <c r="W87" t="str">
        <f t="shared" ca="1" si="24"/>
        <v/>
      </c>
      <c r="AA87" s="93"/>
    </row>
    <row r="88" spans="1:27" ht="15.75" thickBot="1" x14ac:dyDescent="0.25">
      <c r="A88" s="48"/>
      <c r="B88" s="31" t="str">
        <f t="shared" ca="1" si="28"/>
        <v/>
      </c>
      <c r="C88" s="29" t="str">
        <f t="shared" ca="1" si="25"/>
        <v>157</v>
      </c>
      <c r="D88" s="29">
        <f t="shared" ca="1" si="26"/>
        <v>2022.5</v>
      </c>
      <c r="E88" s="29">
        <f t="shared" ca="1" si="26"/>
        <v>2402.79</v>
      </c>
      <c r="F88" s="176">
        <f t="shared" ca="1" si="26"/>
        <v>118.8</v>
      </c>
      <c r="H88" s="29">
        <v>86</v>
      </c>
      <c r="I88">
        <f t="shared" si="27"/>
        <v>576.20000000000005</v>
      </c>
      <c r="J88">
        <f t="shared" si="29"/>
        <v>1.1761999999999999</v>
      </c>
      <c r="P88" s="76" t="s">
        <v>162</v>
      </c>
      <c r="Q88" s="80" t="s">
        <v>269</v>
      </c>
      <c r="R88" s="78">
        <v>2008</v>
      </c>
      <c r="S88" s="79">
        <v>118.3</v>
      </c>
      <c r="T88" s="78">
        <v>2375.46</v>
      </c>
      <c r="U88" s="80" t="s">
        <v>269</v>
      </c>
      <c r="V88" s="80" t="str">
        <f t="shared" si="23"/>
        <v>158</v>
      </c>
      <c r="W88" t="str">
        <f t="shared" ca="1" si="24"/>
        <v/>
      </c>
      <c r="AA88" s="93"/>
    </row>
    <row r="89" spans="1:27" ht="15.75" thickBot="1" x14ac:dyDescent="0.25">
      <c r="A89" s="48"/>
      <c r="B89" s="31" t="str">
        <f t="shared" ca="1" si="28"/>
        <v/>
      </c>
      <c r="C89" s="29" t="str">
        <f t="shared" ca="1" si="25"/>
        <v>158</v>
      </c>
      <c r="D89" s="29">
        <f t="shared" ca="1" si="26"/>
        <v>2008</v>
      </c>
      <c r="E89" s="29">
        <f t="shared" ca="1" si="26"/>
        <v>2375.46</v>
      </c>
      <c r="F89" s="176">
        <f t="shared" ca="1" si="26"/>
        <v>118.3</v>
      </c>
      <c r="H89" s="29">
        <v>87</v>
      </c>
      <c r="I89">
        <f t="shared" si="27"/>
        <v>582.9</v>
      </c>
      <c r="J89">
        <f t="shared" si="29"/>
        <v>1.1769000000000001</v>
      </c>
      <c r="P89" s="76" t="s">
        <v>162</v>
      </c>
      <c r="Q89" s="80" t="s">
        <v>270</v>
      </c>
      <c r="R89" s="78">
        <v>2023.7</v>
      </c>
      <c r="S89" s="79">
        <v>118.43</v>
      </c>
      <c r="T89" s="78">
        <v>2396.73</v>
      </c>
      <c r="U89" s="80" t="s">
        <v>270</v>
      </c>
      <c r="V89" s="80" t="str">
        <f t="shared" si="23"/>
        <v>159</v>
      </c>
      <c r="W89" t="str">
        <f t="shared" ca="1" si="24"/>
        <v/>
      </c>
      <c r="AA89" s="93"/>
    </row>
    <row r="90" spans="1:27" ht="15.75" thickBot="1" x14ac:dyDescent="0.25">
      <c r="A90" s="48"/>
      <c r="B90" s="31" t="str">
        <f t="shared" ca="1" si="28"/>
        <v/>
      </c>
      <c r="C90" s="29" t="str">
        <f t="shared" ca="1" si="25"/>
        <v>159</v>
      </c>
      <c r="D90" s="29">
        <f t="shared" ca="1" si="26"/>
        <v>2023.7</v>
      </c>
      <c r="E90" s="29">
        <f t="shared" ca="1" si="26"/>
        <v>2396.73</v>
      </c>
      <c r="F90" s="176">
        <f t="shared" ca="1" si="26"/>
        <v>118.43</v>
      </c>
      <c r="H90" s="29">
        <v>88</v>
      </c>
      <c r="I90">
        <f t="shared" si="27"/>
        <v>589.6</v>
      </c>
      <c r="J90">
        <f t="shared" si="29"/>
        <v>1.1776</v>
      </c>
      <c r="P90" s="76" t="s">
        <v>162</v>
      </c>
      <c r="Q90" s="80" t="s">
        <v>271</v>
      </c>
      <c r="R90" s="78">
        <v>2014.5</v>
      </c>
      <c r="S90" s="79">
        <v>118.59</v>
      </c>
      <c r="T90" s="78">
        <v>2389.02</v>
      </c>
      <c r="U90" s="80" t="s">
        <v>271</v>
      </c>
      <c r="V90" s="80" t="str">
        <f t="shared" si="23"/>
        <v>160</v>
      </c>
      <c r="W90" t="str">
        <f t="shared" ca="1" si="24"/>
        <v/>
      </c>
      <c r="AA90" s="93"/>
    </row>
    <row r="91" spans="1:27" ht="15.75" thickBot="1" x14ac:dyDescent="0.25">
      <c r="A91" s="48"/>
      <c r="B91" s="31" t="str">
        <f t="shared" ca="1" si="28"/>
        <v/>
      </c>
      <c r="C91" s="29" t="str">
        <f t="shared" ca="1" si="25"/>
        <v>160</v>
      </c>
      <c r="D91" s="29">
        <f t="shared" ca="1" si="26"/>
        <v>2014.5</v>
      </c>
      <c r="E91" s="29">
        <f t="shared" ca="1" si="26"/>
        <v>2389.02</v>
      </c>
      <c r="F91" s="176">
        <f t="shared" ca="1" si="26"/>
        <v>118.59</v>
      </c>
      <c r="H91" s="29">
        <v>89</v>
      </c>
      <c r="I91">
        <f t="shared" si="27"/>
        <v>596.30000000000007</v>
      </c>
      <c r="J91">
        <f t="shared" si="29"/>
        <v>1.1783000000000001</v>
      </c>
      <c r="P91" s="76" t="s">
        <v>162</v>
      </c>
      <c r="Q91" s="80" t="s">
        <v>272</v>
      </c>
      <c r="R91" s="78">
        <v>1990.2</v>
      </c>
      <c r="S91" s="79">
        <v>118.8</v>
      </c>
      <c r="T91" s="78">
        <v>2364.39</v>
      </c>
      <c r="U91" s="80" t="s">
        <v>272</v>
      </c>
      <c r="V91" s="80" t="str">
        <f t="shared" si="23"/>
        <v>161</v>
      </c>
      <c r="W91" t="str">
        <f t="shared" ca="1" si="24"/>
        <v/>
      </c>
      <c r="AA91" s="93"/>
    </row>
    <row r="92" spans="1:27" ht="15.75" thickBot="1" x14ac:dyDescent="0.25">
      <c r="A92" s="48"/>
      <c r="B92" s="31" t="str">
        <f t="shared" ca="1" si="28"/>
        <v/>
      </c>
      <c r="C92" s="29" t="str">
        <f t="shared" ca="1" si="25"/>
        <v>161</v>
      </c>
      <c r="D92" s="29">
        <f t="shared" ca="1" si="26"/>
        <v>1990.2</v>
      </c>
      <c r="E92" s="29">
        <f t="shared" ca="1" si="26"/>
        <v>2364.39</v>
      </c>
      <c r="F92" s="176">
        <f t="shared" ca="1" si="26"/>
        <v>118.8</v>
      </c>
      <c r="H92" s="29">
        <v>90</v>
      </c>
      <c r="I92">
        <f t="shared" si="27"/>
        <v>603</v>
      </c>
      <c r="J92" s="29">
        <v>1.179</v>
      </c>
      <c r="P92" s="76" t="s">
        <v>162</v>
      </c>
      <c r="Q92" s="80" t="s">
        <v>273</v>
      </c>
      <c r="R92" s="78">
        <v>2020.5</v>
      </c>
      <c r="S92" s="79">
        <v>118.09</v>
      </c>
      <c r="T92" s="78">
        <v>2386.09</v>
      </c>
      <c r="U92" s="80" t="s">
        <v>273</v>
      </c>
      <c r="V92" s="80" t="str">
        <f t="shared" si="23"/>
        <v>162</v>
      </c>
      <c r="W92" t="str">
        <f t="shared" ca="1" si="24"/>
        <v/>
      </c>
      <c r="AA92" s="93"/>
    </row>
    <row r="93" spans="1:27" ht="15.75" thickBot="1" x14ac:dyDescent="0.25">
      <c r="A93" s="48"/>
      <c r="B93" s="31" t="str">
        <f t="shared" ca="1" si="28"/>
        <v/>
      </c>
      <c r="C93" s="29" t="str">
        <f t="shared" ca="1" si="25"/>
        <v>162</v>
      </c>
      <c r="D93" s="29">
        <f t="shared" ca="1" si="26"/>
        <v>2020.5</v>
      </c>
      <c r="E93" s="29">
        <f t="shared" ca="1" si="26"/>
        <v>2386.09</v>
      </c>
      <c r="F93" s="176">
        <f t="shared" ca="1" si="26"/>
        <v>118.09</v>
      </c>
      <c r="H93" s="29">
        <v>91</v>
      </c>
      <c r="I93">
        <f t="shared" si="27"/>
        <v>609.70000000000005</v>
      </c>
      <c r="J93" s="29">
        <v>1.18</v>
      </c>
      <c r="P93" s="76" t="s">
        <v>162</v>
      </c>
      <c r="Q93" s="80" t="s">
        <v>274</v>
      </c>
      <c r="R93" s="78">
        <v>2018.2</v>
      </c>
      <c r="S93" s="79">
        <v>118.2</v>
      </c>
      <c r="T93" s="78">
        <v>2385.5100000000002</v>
      </c>
      <c r="U93" s="80" t="s">
        <v>274</v>
      </c>
      <c r="V93" s="80" t="str">
        <f t="shared" si="23"/>
        <v>164</v>
      </c>
      <c r="W93" t="str">
        <f t="shared" ca="1" si="24"/>
        <v/>
      </c>
      <c r="AA93" s="93"/>
    </row>
    <row r="94" spans="1:27" ht="15.75" thickBot="1" x14ac:dyDescent="0.25">
      <c r="A94" s="48"/>
      <c r="B94" s="31" t="str">
        <f t="shared" ca="1" si="28"/>
        <v/>
      </c>
      <c r="C94" s="29" t="str">
        <f t="shared" ca="1" si="25"/>
        <v>164</v>
      </c>
      <c r="D94" s="29">
        <f t="shared" ca="1" si="26"/>
        <v>2018.2</v>
      </c>
      <c r="E94" s="29">
        <f t="shared" ca="1" si="26"/>
        <v>2385.5100000000002</v>
      </c>
      <c r="F94" s="176">
        <f t="shared" ca="1" si="26"/>
        <v>118.2</v>
      </c>
      <c r="P94" s="76" t="s">
        <v>162</v>
      </c>
      <c r="Q94" s="80" t="s">
        <v>275</v>
      </c>
      <c r="R94" s="78">
        <v>1994.3</v>
      </c>
      <c r="S94" s="79">
        <v>119.17</v>
      </c>
      <c r="T94" s="78">
        <v>2376.69</v>
      </c>
      <c r="U94" s="80" t="s">
        <v>275</v>
      </c>
      <c r="V94" s="80" t="str">
        <f t="shared" si="23"/>
        <v>165</v>
      </c>
      <c r="W94" t="str">
        <f t="shared" ca="1" si="24"/>
        <v>+++</v>
      </c>
      <c r="AA94" s="93"/>
    </row>
    <row r="95" spans="1:27" ht="15.75" thickBot="1" x14ac:dyDescent="0.25">
      <c r="A95" s="48"/>
      <c r="B95" s="31" t="str">
        <f t="shared" ca="1" si="28"/>
        <v>+++</v>
      </c>
      <c r="C95" s="29" t="str">
        <f t="shared" ca="1" si="25"/>
        <v>165</v>
      </c>
      <c r="D95" s="29">
        <f t="shared" ref="D95:F116" ca="1" si="30">IFERROR(INDEX($P$3:$V$116,MATCH($C95,$V$3:$V$116,0),MATCH(D$2,$P$3:$V$3,0)),"")</f>
        <v>1994.3</v>
      </c>
      <c r="E95" s="29">
        <f t="shared" ca="1" si="30"/>
        <v>2376.69</v>
      </c>
      <c r="F95" s="176">
        <f t="shared" ca="1" si="30"/>
        <v>119.17</v>
      </c>
      <c r="P95" s="76" t="s">
        <v>162</v>
      </c>
      <c r="Q95" s="80" t="s">
        <v>276</v>
      </c>
      <c r="R95" s="78">
        <v>1996.7</v>
      </c>
      <c r="S95" s="79">
        <v>118.28</v>
      </c>
      <c r="T95" s="78">
        <v>2361.7399999999998</v>
      </c>
      <c r="U95" s="80" t="s">
        <v>276</v>
      </c>
      <c r="V95" s="80" t="str">
        <f t="shared" si="23"/>
        <v>166</v>
      </c>
      <c r="W95" t="str">
        <f t="shared" ca="1" si="24"/>
        <v/>
      </c>
      <c r="AA95" s="93"/>
    </row>
    <row r="96" spans="1:27" ht="15.75" thickBot="1" x14ac:dyDescent="0.25">
      <c r="A96" s="48"/>
      <c r="B96" s="31" t="str">
        <f t="shared" ca="1" si="28"/>
        <v/>
      </c>
      <c r="C96" s="29" t="str">
        <f t="shared" ca="1" si="25"/>
        <v>166</v>
      </c>
      <c r="D96" s="29">
        <f t="shared" ca="1" si="30"/>
        <v>1996.7</v>
      </c>
      <c r="E96" s="29">
        <f t="shared" ca="1" si="30"/>
        <v>2361.7399999999998</v>
      </c>
      <c r="F96" s="176">
        <f t="shared" ca="1" si="30"/>
        <v>118.28</v>
      </c>
      <c r="P96" s="76" t="s">
        <v>162</v>
      </c>
      <c r="Q96" s="80" t="s">
        <v>277</v>
      </c>
      <c r="R96" s="78">
        <v>1986.6</v>
      </c>
      <c r="S96" s="79">
        <v>118.21</v>
      </c>
      <c r="T96" s="78">
        <v>2348.35</v>
      </c>
      <c r="U96" s="80" t="s">
        <v>277</v>
      </c>
      <c r="V96" s="80" t="str">
        <f t="shared" si="23"/>
        <v>167</v>
      </c>
      <c r="W96" t="str">
        <f t="shared" ca="1" si="24"/>
        <v/>
      </c>
      <c r="AA96" s="93"/>
    </row>
    <row r="97" spans="1:27" ht="15.75" thickBot="1" x14ac:dyDescent="0.25">
      <c r="A97" s="48"/>
      <c r="B97" s="31" t="str">
        <f t="shared" ca="1" si="28"/>
        <v/>
      </c>
      <c r="C97" s="29" t="str">
        <f t="shared" ca="1" si="25"/>
        <v>167</v>
      </c>
      <c r="D97" s="29">
        <f t="shared" ca="1" si="30"/>
        <v>1986.6</v>
      </c>
      <c r="E97" s="29">
        <f t="shared" ca="1" si="30"/>
        <v>2348.35</v>
      </c>
      <c r="F97" s="176">
        <f t="shared" ca="1" si="30"/>
        <v>118.21</v>
      </c>
      <c r="P97" s="76" t="s">
        <v>162</v>
      </c>
      <c r="Q97" s="80" t="s">
        <v>278</v>
      </c>
      <c r="R97" s="78">
        <v>2033</v>
      </c>
      <c r="S97" s="79">
        <v>117.86</v>
      </c>
      <c r="T97" s="78">
        <v>2396.09</v>
      </c>
      <c r="U97" s="80" t="s">
        <v>278</v>
      </c>
      <c r="V97" s="80" t="str">
        <f t="shared" si="23"/>
        <v>168</v>
      </c>
      <c r="W97" t="str">
        <f t="shared" ca="1" si="24"/>
        <v>+</v>
      </c>
      <c r="AA97" s="93"/>
    </row>
    <row r="98" spans="1:27" ht="15.75" thickBot="1" x14ac:dyDescent="0.25">
      <c r="A98" s="48"/>
      <c r="B98" s="31" t="str">
        <f t="shared" ca="1" si="28"/>
        <v>+</v>
      </c>
      <c r="C98" s="29" t="str">
        <f t="shared" ca="1" si="25"/>
        <v>168</v>
      </c>
      <c r="D98" s="29">
        <f t="shared" ca="1" si="30"/>
        <v>2033</v>
      </c>
      <c r="E98" s="29">
        <f t="shared" ca="1" si="30"/>
        <v>2396.09</v>
      </c>
      <c r="F98" s="176">
        <f t="shared" ca="1" si="30"/>
        <v>117.86</v>
      </c>
      <c r="P98" s="76" t="s">
        <v>162</v>
      </c>
      <c r="Q98" s="80" t="s">
        <v>279</v>
      </c>
      <c r="R98" s="78">
        <v>1985</v>
      </c>
      <c r="S98" s="79">
        <v>117.78</v>
      </c>
      <c r="T98" s="78">
        <v>2337.91</v>
      </c>
      <c r="U98" s="80" t="s">
        <v>279</v>
      </c>
      <c r="V98" s="80" t="str">
        <f t="shared" si="23"/>
        <v>171</v>
      </c>
      <c r="W98" t="str">
        <f t="shared" ca="1" si="24"/>
        <v/>
      </c>
      <c r="AA98" s="93"/>
    </row>
    <row r="99" spans="1:27" ht="15.75" thickBot="1" x14ac:dyDescent="0.25">
      <c r="A99" s="48"/>
      <c r="B99" s="31" t="str">
        <f t="shared" ca="1" si="28"/>
        <v/>
      </c>
      <c r="C99" s="29" t="str">
        <f t="shared" ca="1" si="25"/>
        <v>171</v>
      </c>
      <c r="D99" s="29">
        <f t="shared" ca="1" si="30"/>
        <v>1985</v>
      </c>
      <c r="E99" s="29">
        <f t="shared" ca="1" si="30"/>
        <v>2337.91</v>
      </c>
      <c r="F99" s="176">
        <f t="shared" ca="1" si="30"/>
        <v>117.78</v>
      </c>
      <c r="P99" s="76" t="s">
        <v>162</v>
      </c>
      <c r="Q99" s="80" t="s">
        <v>280</v>
      </c>
      <c r="R99" s="78">
        <v>1994.2</v>
      </c>
      <c r="S99" s="79">
        <v>117.77</v>
      </c>
      <c r="T99" s="78">
        <v>2348.5100000000002</v>
      </c>
      <c r="U99" s="80" t="s">
        <v>280</v>
      </c>
      <c r="V99" s="80" t="str">
        <f t="shared" si="23"/>
        <v>173</v>
      </c>
      <c r="W99" t="str">
        <f t="shared" ca="1" si="24"/>
        <v/>
      </c>
      <c r="AA99" s="93"/>
    </row>
    <row r="100" spans="1:27" ht="15.75" thickBot="1" x14ac:dyDescent="0.25">
      <c r="A100" s="48"/>
      <c r="B100" s="31" t="str">
        <f t="shared" ca="1" si="28"/>
        <v/>
      </c>
      <c r="C100" s="29" t="str">
        <f t="shared" ca="1" si="25"/>
        <v>173</v>
      </c>
      <c r="D100" s="29">
        <f t="shared" ca="1" si="30"/>
        <v>1994.2</v>
      </c>
      <c r="E100" s="29">
        <f t="shared" ca="1" si="30"/>
        <v>2348.5100000000002</v>
      </c>
      <c r="F100" s="176">
        <f t="shared" ca="1" si="30"/>
        <v>117.77</v>
      </c>
      <c r="P100" s="76" t="s">
        <v>162</v>
      </c>
      <c r="Q100" s="80" t="s">
        <v>281</v>
      </c>
      <c r="R100" s="78">
        <v>2002.2</v>
      </c>
      <c r="S100" s="79">
        <v>118.05</v>
      </c>
      <c r="T100" s="78">
        <v>2363.5300000000002</v>
      </c>
      <c r="U100" s="80" t="s">
        <v>281</v>
      </c>
      <c r="V100" s="80" t="str">
        <f t="shared" si="23"/>
        <v>174</v>
      </c>
      <c r="W100" t="str">
        <f t="shared" ca="1" si="24"/>
        <v/>
      </c>
      <c r="AA100" s="93"/>
    </row>
    <row r="101" spans="1:27" ht="15.75" thickBot="1" x14ac:dyDescent="0.25">
      <c r="A101" s="48"/>
      <c r="B101" s="31" t="str">
        <f t="shared" ca="1" si="28"/>
        <v/>
      </c>
      <c r="C101" s="29" t="str">
        <f t="shared" ca="1" si="25"/>
        <v>174</v>
      </c>
      <c r="D101" s="29">
        <f t="shared" ca="1" si="30"/>
        <v>2002.2</v>
      </c>
      <c r="E101" s="29">
        <f t="shared" ca="1" si="30"/>
        <v>2363.5300000000002</v>
      </c>
      <c r="F101" s="176">
        <f t="shared" ca="1" si="30"/>
        <v>118.05</v>
      </c>
      <c r="P101" s="76" t="s">
        <v>162</v>
      </c>
      <c r="Q101" s="80" t="s">
        <v>282</v>
      </c>
      <c r="R101" s="78">
        <v>1971.3</v>
      </c>
      <c r="S101" s="79">
        <v>118.45</v>
      </c>
      <c r="T101" s="78">
        <v>2335.13</v>
      </c>
      <c r="U101" s="80" t="s">
        <v>282</v>
      </c>
      <c r="V101" s="80" t="str">
        <f t="shared" si="23"/>
        <v>176</v>
      </c>
      <c r="W101" t="str">
        <f t="shared" ca="1" si="24"/>
        <v/>
      </c>
      <c r="AA101" s="93"/>
    </row>
    <row r="102" spans="1:27" ht="15.75" thickBot="1" x14ac:dyDescent="0.25">
      <c r="A102" s="48"/>
      <c r="B102" s="31" t="str">
        <f t="shared" ca="1" si="28"/>
        <v/>
      </c>
      <c r="C102" s="29" t="str">
        <f t="shared" ca="1" si="25"/>
        <v>176</v>
      </c>
      <c r="D102" s="29">
        <f t="shared" ca="1" si="30"/>
        <v>1971.3</v>
      </c>
      <c r="E102" s="29">
        <f t="shared" ca="1" si="30"/>
        <v>2335.13</v>
      </c>
      <c r="F102" s="176">
        <f t="shared" ca="1" si="30"/>
        <v>118.45</v>
      </c>
      <c r="P102" s="76" t="s">
        <v>162</v>
      </c>
      <c r="Q102" s="80" t="s">
        <v>283</v>
      </c>
      <c r="R102" s="78">
        <v>1993.6</v>
      </c>
      <c r="S102" s="79">
        <v>118.64</v>
      </c>
      <c r="T102" s="78">
        <v>2365.31</v>
      </c>
      <c r="U102" s="80" t="s">
        <v>283</v>
      </c>
      <c r="V102" s="80" t="str">
        <f t="shared" si="23"/>
        <v>181</v>
      </c>
      <c r="W102" t="str">
        <f t="shared" ca="1" si="24"/>
        <v/>
      </c>
      <c r="AA102" s="93"/>
    </row>
    <row r="103" spans="1:27" ht="15.75" thickBot="1" x14ac:dyDescent="0.25">
      <c r="A103" s="48"/>
      <c r="B103" s="31" t="str">
        <f t="shared" ca="1" si="28"/>
        <v/>
      </c>
      <c r="C103" s="29" t="str">
        <f t="shared" ca="1" si="25"/>
        <v>181</v>
      </c>
      <c r="D103" s="29">
        <f t="shared" ca="1" si="30"/>
        <v>1993.6</v>
      </c>
      <c r="E103" s="29">
        <f t="shared" ca="1" si="30"/>
        <v>2365.31</v>
      </c>
      <c r="F103" s="176">
        <f t="shared" ca="1" si="30"/>
        <v>118.64</v>
      </c>
      <c r="P103" s="76" t="s">
        <v>162</v>
      </c>
      <c r="Q103" s="80" t="s">
        <v>284</v>
      </c>
      <c r="R103" s="78">
        <v>2009.6</v>
      </c>
      <c r="S103" s="79">
        <v>118.1</v>
      </c>
      <c r="T103" s="78">
        <v>2373.36</v>
      </c>
      <c r="U103" s="80" t="s">
        <v>284</v>
      </c>
      <c r="V103" s="80" t="str">
        <f t="shared" si="23"/>
        <v>182</v>
      </c>
      <c r="W103" t="str">
        <f t="shared" ca="1" si="24"/>
        <v/>
      </c>
      <c r="AA103" s="93"/>
    </row>
    <row r="104" spans="1:27" ht="15.75" thickBot="1" x14ac:dyDescent="0.25">
      <c r="A104" s="48"/>
      <c r="B104" s="31" t="str">
        <f t="shared" ca="1" si="28"/>
        <v/>
      </c>
      <c r="C104" s="29" t="str">
        <f t="shared" ca="1" si="25"/>
        <v>182</v>
      </c>
      <c r="D104" s="29">
        <f t="shared" ca="1" si="30"/>
        <v>2009.6</v>
      </c>
      <c r="E104" s="29">
        <f t="shared" ca="1" si="30"/>
        <v>2373.36</v>
      </c>
      <c r="F104" s="176">
        <f t="shared" ca="1" si="30"/>
        <v>118.1</v>
      </c>
      <c r="P104" s="76" t="s">
        <v>162</v>
      </c>
      <c r="Q104" s="80" t="s">
        <v>285</v>
      </c>
      <c r="R104" s="78">
        <v>1998.5</v>
      </c>
      <c r="S104" s="79">
        <v>117.7</v>
      </c>
      <c r="T104" s="78">
        <v>2352.2800000000002</v>
      </c>
      <c r="U104" s="80" t="s">
        <v>285</v>
      </c>
      <c r="V104" s="80" t="str">
        <f t="shared" si="23"/>
        <v>183</v>
      </c>
      <c r="W104" t="str">
        <f t="shared" ca="1" si="24"/>
        <v/>
      </c>
      <c r="AA104" s="93"/>
    </row>
    <row r="105" spans="1:27" ht="15.75" thickBot="1" x14ac:dyDescent="0.25">
      <c r="A105" s="48"/>
      <c r="B105" s="31" t="str">
        <f t="shared" ca="1" si="28"/>
        <v/>
      </c>
      <c r="C105" s="29" t="str">
        <f t="shared" ca="1" si="25"/>
        <v>183</v>
      </c>
      <c r="D105" s="29">
        <f t="shared" ca="1" si="30"/>
        <v>1998.5</v>
      </c>
      <c r="E105" s="29">
        <f t="shared" ca="1" si="30"/>
        <v>2352.2800000000002</v>
      </c>
      <c r="F105" s="176">
        <f t="shared" ca="1" si="30"/>
        <v>117.7</v>
      </c>
      <c r="P105" s="76" t="s">
        <v>162</v>
      </c>
      <c r="Q105" s="80" t="s">
        <v>286</v>
      </c>
      <c r="R105" s="78">
        <v>1978.5</v>
      </c>
      <c r="S105" s="79">
        <v>118.1</v>
      </c>
      <c r="T105" s="78">
        <v>2336.6999999999998</v>
      </c>
      <c r="U105" s="80" t="s">
        <v>286</v>
      </c>
      <c r="V105" s="80" t="str">
        <f t="shared" si="23"/>
        <v>184</v>
      </c>
      <c r="W105" t="str">
        <f t="shared" ca="1" si="24"/>
        <v/>
      </c>
      <c r="AA105" s="93"/>
    </row>
    <row r="106" spans="1:27" ht="15.75" thickBot="1" x14ac:dyDescent="0.25">
      <c r="A106" s="48"/>
      <c r="B106" s="31" t="str">
        <f t="shared" ca="1" si="28"/>
        <v/>
      </c>
      <c r="C106" s="29" t="str">
        <f t="shared" ca="1" si="25"/>
        <v>184</v>
      </c>
      <c r="D106" s="29">
        <f t="shared" ca="1" si="30"/>
        <v>1978.5</v>
      </c>
      <c r="E106" s="29">
        <f t="shared" ca="1" si="30"/>
        <v>2336.6999999999998</v>
      </c>
      <c r="F106" s="176">
        <f t="shared" ca="1" si="30"/>
        <v>118.1</v>
      </c>
      <c r="P106" s="76" t="s">
        <v>162</v>
      </c>
      <c r="Q106" s="80" t="s">
        <v>287</v>
      </c>
      <c r="R106" s="78">
        <v>1987.5</v>
      </c>
      <c r="S106" s="79">
        <v>118.79</v>
      </c>
      <c r="T106" s="78">
        <v>2361.0300000000002</v>
      </c>
      <c r="U106" s="80" t="s">
        <v>287</v>
      </c>
      <c r="V106" s="80" t="str">
        <f t="shared" si="23"/>
        <v>186</v>
      </c>
      <c r="W106" t="str">
        <f t="shared" ca="1" si="24"/>
        <v/>
      </c>
      <c r="AA106" s="93"/>
    </row>
    <row r="107" spans="1:27" ht="15.75" thickBot="1" x14ac:dyDescent="0.25">
      <c r="A107" s="48"/>
      <c r="B107" s="31" t="str">
        <f t="shared" ca="1" si="28"/>
        <v/>
      </c>
      <c r="C107" s="29" t="str">
        <f t="shared" ca="1" si="25"/>
        <v>186</v>
      </c>
      <c r="D107" s="29">
        <f t="shared" ca="1" si="30"/>
        <v>1987.5</v>
      </c>
      <c r="E107" s="29">
        <f t="shared" ca="1" si="30"/>
        <v>2361.0300000000002</v>
      </c>
      <c r="F107" s="176">
        <f t="shared" ca="1" si="30"/>
        <v>118.79</v>
      </c>
      <c r="P107" s="76" t="s">
        <v>162</v>
      </c>
      <c r="Q107" s="80" t="s">
        <v>288</v>
      </c>
      <c r="R107" s="78">
        <v>1999.5</v>
      </c>
      <c r="S107" s="79">
        <v>117.48</v>
      </c>
      <c r="T107" s="78">
        <v>2349.09</v>
      </c>
      <c r="U107" s="80" t="s">
        <v>288</v>
      </c>
      <c r="V107" s="80" t="str">
        <f t="shared" si="23"/>
        <v>187</v>
      </c>
      <c r="W107" t="str">
        <f t="shared" ca="1" si="24"/>
        <v/>
      </c>
      <c r="AA107" s="93"/>
    </row>
    <row r="108" spans="1:27" ht="15.75" thickBot="1" x14ac:dyDescent="0.25">
      <c r="A108" s="48"/>
      <c r="B108" s="31" t="str">
        <f t="shared" ca="1" si="28"/>
        <v/>
      </c>
      <c r="C108" s="29" t="str">
        <f t="shared" ca="1" si="25"/>
        <v>187</v>
      </c>
      <c r="D108" s="29">
        <f t="shared" ca="1" si="30"/>
        <v>1999.5</v>
      </c>
      <c r="E108" s="29">
        <f t="shared" ca="1" si="30"/>
        <v>2349.09</v>
      </c>
      <c r="F108" s="176">
        <f t="shared" ca="1" si="30"/>
        <v>117.48</v>
      </c>
      <c r="P108" s="76" t="s">
        <v>162</v>
      </c>
      <c r="Q108" s="80" t="s">
        <v>289</v>
      </c>
      <c r="R108" s="78">
        <v>1983.8</v>
      </c>
      <c r="S108" s="79">
        <v>118.93</v>
      </c>
      <c r="T108" s="78">
        <v>2359.2800000000002</v>
      </c>
      <c r="U108" s="80" t="s">
        <v>289</v>
      </c>
      <c r="V108" s="80" t="str">
        <f t="shared" si="23"/>
        <v>188</v>
      </c>
      <c r="W108" t="str">
        <f t="shared" ca="1" si="24"/>
        <v/>
      </c>
      <c r="AA108" s="93"/>
    </row>
    <row r="109" spans="1:27" ht="15.75" thickBot="1" x14ac:dyDescent="0.25">
      <c r="A109" s="48"/>
      <c r="B109" s="31" t="str">
        <f t="shared" ca="1" si="28"/>
        <v/>
      </c>
      <c r="C109" s="29" t="str">
        <f t="shared" ca="1" si="25"/>
        <v>188</v>
      </c>
      <c r="D109" s="29">
        <f t="shared" ca="1" si="30"/>
        <v>1983.8</v>
      </c>
      <c r="E109" s="29">
        <f t="shared" ca="1" si="30"/>
        <v>2359.2800000000002</v>
      </c>
      <c r="F109" s="176">
        <f t="shared" ca="1" si="30"/>
        <v>118.93</v>
      </c>
      <c r="P109" s="76" t="s">
        <v>162</v>
      </c>
      <c r="Q109" s="80" t="s">
        <v>290</v>
      </c>
      <c r="R109" s="78">
        <v>1988.5</v>
      </c>
      <c r="S109" s="79">
        <v>117.73</v>
      </c>
      <c r="T109" s="78">
        <v>2340.9699999999998</v>
      </c>
      <c r="U109" s="80" t="s">
        <v>290</v>
      </c>
      <c r="V109" s="80" t="str">
        <f t="shared" si="23"/>
        <v>189</v>
      </c>
      <c r="W109" t="str">
        <f t="shared" ca="1" si="24"/>
        <v/>
      </c>
      <c r="AA109" s="93"/>
    </row>
    <row r="110" spans="1:27" ht="15.75" thickBot="1" x14ac:dyDescent="0.25">
      <c r="A110" s="48"/>
      <c r="B110" s="31" t="str">
        <f t="shared" ca="1" si="28"/>
        <v/>
      </c>
      <c r="C110" s="29" t="str">
        <f t="shared" ca="1" si="25"/>
        <v>189</v>
      </c>
      <c r="D110" s="29">
        <f t="shared" ca="1" si="30"/>
        <v>1988.5</v>
      </c>
      <c r="E110" s="29">
        <f t="shared" ca="1" si="30"/>
        <v>2340.9699999999998</v>
      </c>
      <c r="F110" s="176">
        <f t="shared" ca="1" si="30"/>
        <v>117.73</v>
      </c>
      <c r="P110" s="76" t="s">
        <v>162</v>
      </c>
      <c r="Q110" s="80" t="s">
        <v>291</v>
      </c>
      <c r="R110" s="78">
        <v>1981.1</v>
      </c>
      <c r="S110" s="79">
        <v>118.34</v>
      </c>
      <c r="T110" s="78">
        <v>2344.4499999999998</v>
      </c>
      <c r="U110" s="80" t="s">
        <v>291</v>
      </c>
      <c r="V110" s="80" t="str">
        <f t="shared" si="23"/>
        <v>190</v>
      </c>
      <c r="W110" t="e">
        <f t="shared" ca="1" si="24"/>
        <v>#N/A</v>
      </c>
      <c r="AA110" s="93"/>
    </row>
    <row r="111" spans="1:27" ht="15.75" thickBot="1" x14ac:dyDescent="0.25">
      <c r="A111" s="48"/>
      <c r="B111" s="31" t="str">
        <f t="shared" ca="1" si="28"/>
        <v/>
      </c>
      <c r="C111" s="29" t="str">
        <f t="shared" ca="1" si="25"/>
        <v/>
      </c>
      <c r="D111" s="29" t="str">
        <f t="shared" ca="1" si="30"/>
        <v/>
      </c>
      <c r="E111" s="29" t="str">
        <f t="shared" ca="1" si="30"/>
        <v/>
      </c>
      <c r="F111" s="176" t="str">
        <f t="shared" ca="1" si="30"/>
        <v/>
      </c>
      <c r="I111" s="29" t="s">
        <v>59</v>
      </c>
      <c r="P111" s="76"/>
      <c r="Q111" s="80"/>
      <c r="R111" s="78"/>
      <c r="S111" s="79"/>
      <c r="T111" s="78"/>
      <c r="U111" s="80"/>
      <c r="V111" s="80"/>
      <c r="W111" t="e">
        <f t="shared" ref="W111:W116" ca="1" si="31">INDEX($B$3:$C$115,MATCH(V111,$C$3:$C$116,0),1)</f>
        <v>#N/A</v>
      </c>
      <c r="AA111" s="93"/>
    </row>
    <row r="112" spans="1:27" ht="15.75" thickBot="1" x14ac:dyDescent="0.25">
      <c r="A112" s="48"/>
      <c r="B112" s="31" t="str">
        <f t="shared" ca="1" si="28"/>
        <v/>
      </c>
      <c r="C112" s="29" t="str">
        <f t="shared" ca="1" si="25"/>
        <v/>
      </c>
      <c r="D112" s="29" t="str">
        <f t="shared" ca="1" si="30"/>
        <v/>
      </c>
      <c r="E112" s="29" t="str">
        <f t="shared" ca="1" si="30"/>
        <v/>
      </c>
      <c r="F112" s="176" t="str">
        <f t="shared" ca="1" si="30"/>
        <v/>
      </c>
      <c r="I112" s="29" t="s">
        <v>60</v>
      </c>
      <c r="P112" s="76"/>
      <c r="Q112" s="80"/>
      <c r="R112" s="78"/>
      <c r="S112" s="79"/>
      <c r="T112" s="78"/>
      <c r="U112" s="80"/>
      <c r="V112" s="80"/>
      <c r="W112" t="e">
        <f t="shared" ca="1" si="31"/>
        <v>#N/A</v>
      </c>
      <c r="AA112" s="93"/>
    </row>
    <row r="113" spans="1:27" ht="15.75" thickBot="1" x14ac:dyDescent="0.25">
      <c r="A113" s="48"/>
      <c r="B113" s="31" t="str">
        <f t="shared" ca="1" si="28"/>
        <v/>
      </c>
      <c r="C113" s="29" t="str">
        <f t="shared" ca="1" si="25"/>
        <v/>
      </c>
      <c r="D113" s="29" t="str">
        <f t="shared" ca="1" si="30"/>
        <v/>
      </c>
      <c r="E113" s="29" t="str">
        <f t="shared" ca="1" si="30"/>
        <v/>
      </c>
      <c r="F113" s="176" t="str">
        <f t="shared" ca="1" si="30"/>
        <v/>
      </c>
      <c r="I113" s="29" t="s">
        <v>61</v>
      </c>
      <c r="P113" s="76"/>
      <c r="Q113" s="80"/>
      <c r="R113" s="78"/>
      <c r="S113" s="79"/>
      <c r="T113" s="78"/>
      <c r="U113" s="80"/>
      <c r="V113" s="80"/>
      <c r="W113" t="e">
        <f t="shared" ca="1" si="31"/>
        <v>#N/A</v>
      </c>
      <c r="AA113" s="93"/>
    </row>
    <row r="114" spans="1:27" ht="15.75" thickBot="1" x14ac:dyDescent="0.25">
      <c r="A114" s="48"/>
      <c r="B114" s="31" t="str">
        <f t="shared" ca="1" si="28"/>
        <v/>
      </c>
      <c r="C114" s="29" t="str">
        <f t="shared" ca="1" si="25"/>
        <v/>
      </c>
      <c r="D114" s="29" t="str">
        <f t="shared" ca="1" si="30"/>
        <v/>
      </c>
      <c r="E114" s="29" t="str">
        <f t="shared" ca="1" si="30"/>
        <v/>
      </c>
      <c r="F114" s="176" t="str">
        <f t="shared" ca="1" si="30"/>
        <v/>
      </c>
      <c r="H114" s="31" t="s">
        <v>15</v>
      </c>
      <c r="I114" s="83" t="s">
        <v>163</v>
      </c>
      <c r="P114" s="76"/>
      <c r="Q114" s="80"/>
      <c r="R114" s="78"/>
      <c r="S114" s="79"/>
      <c r="T114" s="78"/>
      <c r="U114" s="80"/>
      <c r="V114" s="80"/>
      <c r="W114" t="e">
        <f t="shared" ca="1" si="31"/>
        <v>#N/A</v>
      </c>
      <c r="AA114" s="93"/>
    </row>
    <row r="115" spans="1:27" ht="15.75" thickBot="1" x14ac:dyDescent="0.25">
      <c r="A115" s="49"/>
      <c r="B115" s="177" t="str">
        <f t="shared" ca="1" si="28"/>
        <v/>
      </c>
      <c r="C115" s="178" t="str">
        <f ca="1">IFERROR(IF(LEFT($A$75,6) = INDEX($P$4:$P$114,ROW(A115)-ROW($A$3),1),IF(LEFT(OFFSET(INDIRECT("P"&amp;MATCH(LEFT($A$75,6),$P$1:$P$114,0),TRUE),ROW()-ROW($A$75),5),1)="0",
MID(LEFT(OFFSET(INDIRECT("P"&amp;MATCH(LEFT($A$75,6),$P$1:$P$114,0),TRUE),ROW()-ROW($A$75),5),3),2,2),
LEFT(OFFSET(INDIRECT("P"&amp;MATCH(LEFT($A$75,6),$P$1:$P$114,0),TRUE),ROW()-ROW($A$75),5),3)),""),"")</f>
        <v/>
      </c>
      <c r="D115" s="178" t="str">
        <f t="shared" ca="1" si="30"/>
        <v/>
      </c>
      <c r="E115" s="178" t="str">
        <f t="shared" ca="1" si="30"/>
        <v/>
      </c>
      <c r="F115" s="179" t="str">
        <f t="shared" ca="1" si="30"/>
        <v/>
      </c>
      <c r="H115" s="181" t="s">
        <v>378</v>
      </c>
      <c r="I115" s="83" t="s">
        <v>164</v>
      </c>
      <c r="P115" s="76"/>
      <c r="Q115" s="77"/>
      <c r="R115" s="78"/>
      <c r="S115" s="79"/>
      <c r="T115" s="78"/>
      <c r="U115" s="80"/>
      <c r="V115" s="80"/>
      <c r="W115" t="e">
        <f t="shared" ca="1" si="31"/>
        <v>#N/A</v>
      </c>
      <c r="AA115" s="93"/>
    </row>
    <row r="116" spans="1:27" ht="15.75" thickBot="1" x14ac:dyDescent="0.25">
      <c r="B116" s="31" t="str">
        <f t="shared" ca="1" si="28"/>
        <v/>
      </c>
      <c r="C116" s="29" t="str">
        <f t="shared" ref="C116" si="32">IF(LEFT(U117,1)="0",MID(U117,2,2),LEFT(U117,3))</f>
        <v/>
      </c>
      <c r="D116" s="29" t="str">
        <f t="shared" si="30"/>
        <v/>
      </c>
      <c r="E116" s="29" t="str">
        <f t="shared" si="30"/>
        <v/>
      </c>
      <c r="F116" s="29" t="str">
        <f t="shared" si="30"/>
        <v/>
      </c>
      <c r="H116" s="181" t="s">
        <v>379</v>
      </c>
      <c r="I116" s="101" t="s">
        <v>310</v>
      </c>
      <c r="P116" s="76"/>
      <c r="Q116" s="77"/>
      <c r="R116" s="78"/>
      <c r="S116" s="79"/>
      <c r="T116" s="78"/>
      <c r="U116" s="80"/>
      <c r="V116" s="80"/>
      <c r="W116" t="e">
        <f t="shared" ca="1" si="31"/>
        <v>#N/A</v>
      </c>
      <c r="AA116" s="93"/>
    </row>
    <row r="117" spans="1:27" ht="13.5" thickBot="1" x14ac:dyDescent="0.25">
      <c r="P117" s="76"/>
      <c r="Q117" s="77"/>
      <c r="R117" s="78"/>
      <c r="S117" s="79"/>
      <c r="T117" s="78"/>
      <c r="U117" s="80"/>
      <c r="AA117" s="93"/>
    </row>
    <row r="118" spans="1:27" x14ac:dyDescent="0.2">
      <c r="AA118" s="93"/>
    </row>
    <row r="119" spans="1:27" x14ac:dyDescent="0.2">
      <c r="AA119" s="93"/>
    </row>
    <row r="120" spans="1:27" ht="15" x14ac:dyDescent="0.2">
      <c r="C120" s="29" t="s">
        <v>62</v>
      </c>
      <c r="AA120" s="93"/>
    </row>
    <row r="121" spans="1:27" x14ac:dyDescent="0.2">
      <c r="AA121" s="93"/>
    </row>
    <row r="122" spans="1:27" x14ac:dyDescent="0.2">
      <c r="AA122" s="93"/>
    </row>
    <row r="123" spans="1:27" x14ac:dyDescent="0.2">
      <c r="AA123" s="93"/>
    </row>
    <row r="124" spans="1:27" x14ac:dyDescent="0.2">
      <c r="AA124" s="93"/>
    </row>
    <row r="125" spans="1:27" x14ac:dyDescent="0.2">
      <c r="AA125" s="93"/>
    </row>
    <row r="126" spans="1:27" x14ac:dyDescent="0.2">
      <c r="AA126" s="93"/>
    </row>
    <row r="127" spans="1:27" x14ac:dyDescent="0.2">
      <c r="AA127" s="93"/>
    </row>
    <row r="128" spans="1:27" x14ac:dyDescent="0.2">
      <c r="AA128" s="93"/>
    </row>
    <row r="129" spans="27:27" x14ac:dyDescent="0.2">
      <c r="AA129" s="93"/>
    </row>
    <row r="130" spans="27:27" x14ac:dyDescent="0.2">
      <c r="AA130" s="93"/>
    </row>
    <row r="131" spans="27:27" x14ac:dyDescent="0.2">
      <c r="AA131" s="93"/>
    </row>
    <row r="132" spans="27:27" x14ac:dyDescent="0.2">
      <c r="AA132" s="93"/>
    </row>
    <row r="133" spans="27:27" x14ac:dyDescent="0.2">
      <c r="AA133" s="93"/>
    </row>
    <row r="134" spans="27:27" x14ac:dyDescent="0.2">
      <c r="AA134" s="93"/>
    </row>
    <row r="135" spans="27:27" x14ac:dyDescent="0.2">
      <c r="AA135" s="93"/>
    </row>
    <row r="136" spans="27:27" x14ac:dyDescent="0.2">
      <c r="AA136" s="93"/>
    </row>
    <row r="137" spans="27:27" x14ac:dyDescent="0.2">
      <c r="AA137" s="93"/>
    </row>
    <row r="138" spans="27:27" x14ac:dyDescent="0.2">
      <c r="AA138" s="93"/>
    </row>
    <row r="139" spans="27:27" x14ac:dyDescent="0.2">
      <c r="AA139" s="93"/>
    </row>
    <row r="140" spans="27:27" x14ac:dyDescent="0.2">
      <c r="AA140" s="93"/>
    </row>
    <row r="141" spans="27:27" x14ac:dyDescent="0.2">
      <c r="AA141" s="93"/>
    </row>
    <row r="142" spans="27:27" x14ac:dyDescent="0.2">
      <c r="AA142" s="93"/>
    </row>
    <row r="143" spans="27:27" x14ac:dyDescent="0.2">
      <c r="AA143" s="93"/>
    </row>
    <row r="144" spans="27:27" x14ac:dyDescent="0.2">
      <c r="AA144" s="93"/>
    </row>
    <row r="145" spans="27:27" x14ac:dyDescent="0.2">
      <c r="AA145" s="93"/>
    </row>
    <row r="146" spans="27:27" x14ac:dyDescent="0.2">
      <c r="AA146" s="93"/>
    </row>
    <row r="147" spans="27:27" x14ac:dyDescent="0.2">
      <c r="AA147" s="93"/>
    </row>
    <row r="148" spans="27:27" x14ac:dyDescent="0.2">
      <c r="AA148" s="93"/>
    </row>
    <row r="149" spans="27:27" x14ac:dyDescent="0.2">
      <c r="AA149" s="93"/>
    </row>
    <row r="150" spans="27:27" x14ac:dyDescent="0.2">
      <c r="AA150" s="93"/>
    </row>
    <row r="151" spans="27:27" x14ac:dyDescent="0.2">
      <c r="AA151" s="93"/>
    </row>
    <row r="152" spans="27:27" x14ac:dyDescent="0.2">
      <c r="AA152" s="93"/>
    </row>
    <row r="153" spans="27:27" x14ac:dyDescent="0.2">
      <c r="AA153" s="93"/>
    </row>
    <row r="154" spans="27:27" x14ac:dyDescent="0.2">
      <c r="AA154" s="93"/>
    </row>
    <row r="155" spans="27:27" x14ac:dyDescent="0.2">
      <c r="AA155" s="93"/>
    </row>
    <row r="156" spans="27:27" x14ac:dyDescent="0.2">
      <c r="AA156" s="93"/>
    </row>
    <row r="157" spans="27:27" x14ac:dyDescent="0.2">
      <c r="AA157" s="93"/>
    </row>
    <row r="158" spans="27:27" x14ac:dyDescent="0.2">
      <c r="AA158" s="93"/>
    </row>
    <row r="159" spans="27:27" x14ac:dyDescent="0.2">
      <c r="AA159" s="93"/>
    </row>
    <row r="160" spans="27:27" x14ac:dyDescent="0.2">
      <c r="AA160" s="93"/>
    </row>
    <row r="161" spans="27:27" x14ac:dyDescent="0.2">
      <c r="AA161" s="93"/>
    </row>
    <row r="162" spans="27:27" x14ac:dyDescent="0.2">
      <c r="AA162" s="93"/>
    </row>
    <row r="163" spans="27:27" x14ac:dyDescent="0.2">
      <c r="AA163" s="93"/>
    </row>
    <row r="164" spans="27:27" x14ac:dyDescent="0.2">
      <c r="AA164" s="93"/>
    </row>
    <row r="165" spans="27:27" x14ac:dyDescent="0.2">
      <c r="AA165" s="93"/>
    </row>
    <row r="166" spans="27:27" x14ac:dyDescent="0.2">
      <c r="AA166" s="93"/>
    </row>
    <row r="167" spans="27:27" x14ac:dyDescent="0.2">
      <c r="AA167" s="93"/>
    </row>
    <row r="168" spans="27:27" x14ac:dyDescent="0.2">
      <c r="AA168" s="93"/>
    </row>
    <row r="169" spans="27:27" x14ac:dyDescent="0.2">
      <c r="AA169" s="93"/>
    </row>
    <row r="170" spans="27:27" x14ac:dyDescent="0.2">
      <c r="AA170" s="93"/>
    </row>
    <row r="171" spans="27:27" x14ac:dyDescent="0.2">
      <c r="AA171" s="93"/>
    </row>
    <row r="172" spans="27:27" x14ac:dyDescent="0.2">
      <c r="AA172" s="93"/>
    </row>
    <row r="173" spans="27:27" x14ac:dyDescent="0.2">
      <c r="AA173" s="93"/>
    </row>
    <row r="174" spans="27:27" x14ac:dyDescent="0.2">
      <c r="AA174" s="93"/>
    </row>
    <row r="175" spans="27:27" x14ac:dyDescent="0.2">
      <c r="AA175" s="93"/>
    </row>
    <row r="176" spans="27:27" x14ac:dyDescent="0.2">
      <c r="AA176" s="93"/>
    </row>
    <row r="177" spans="27:27" x14ac:dyDescent="0.2">
      <c r="AA177" s="93"/>
    </row>
    <row r="178" spans="27:27" x14ac:dyDescent="0.2">
      <c r="AA178" s="93"/>
    </row>
    <row r="179" spans="27:27" x14ac:dyDescent="0.2">
      <c r="AA179" s="93"/>
    </row>
    <row r="180" spans="27:27" x14ac:dyDescent="0.2">
      <c r="AA180" s="93"/>
    </row>
    <row r="181" spans="27:27" x14ac:dyDescent="0.2">
      <c r="AA181" s="93"/>
    </row>
    <row r="182" spans="27:27" x14ac:dyDescent="0.2">
      <c r="AA182" s="93"/>
    </row>
    <row r="183" spans="27:27" x14ac:dyDescent="0.2">
      <c r="AA183" s="93"/>
    </row>
    <row r="184" spans="27:27" x14ac:dyDescent="0.2">
      <c r="AA184" s="93"/>
    </row>
    <row r="185" spans="27:27" x14ac:dyDescent="0.2">
      <c r="AA185" s="93"/>
    </row>
    <row r="186" spans="27:27" x14ac:dyDescent="0.2">
      <c r="AA186" s="93"/>
    </row>
    <row r="187" spans="27:27" x14ac:dyDescent="0.2">
      <c r="AA187" s="93"/>
    </row>
    <row r="188" spans="27:27" x14ac:dyDescent="0.2">
      <c r="AA188" s="93"/>
    </row>
    <row r="189" spans="27:27" x14ac:dyDescent="0.2">
      <c r="AA189" s="93"/>
    </row>
    <row r="190" spans="27:27" x14ac:dyDescent="0.2">
      <c r="AA190" s="93"/>
    </row>
    <row r="191" spans="27:27" x14ac:dyDescent="0.2">
      <c r="AA191" s="93"/>
    </row>
    <row r="192" spans="27:27" x14ac:dyDescent="0.2">
      <c r="AA192" s="93"/>
    </row>
    <row r="193" spans="27:27" x14ac:dyDescent="0.2">
      <c r="AA193" s="93"/>
    </row>
    <row r="194" spans="27:27" x14ac:dyDescent="0.2">
      <c r="AA194" s="93"/>
    </row>
    <row r="195" spans="27:27" x14ac:dyDescent="0.2">
      <c r="AA195" s="93"/>
    </row>
    <row r="196" spans="27:27" x14ac:dyDescent="0.2">
      <c r="AA196" s="93"/>
    </row>
    <row r="197" spans="27:27" x14ac:dyDescent="0.2">
      <c r="AA197" s="93"/>
    </row>
    <row r="198" spans="27:27" x14ac:dyDescent="0.2">
      <c r="AA198" s="93"/>
    </row>
    <row r="199" spans="27:27" x14ac:dyDescent="0.2">
      <c r="AA199" s="93"/>
    </row>
    <row r="200" spans="27:27" x14ac:dyDescent="0.2">
      <c r="AA200" s="93"/>
    </row>
    <row r="201" spans="27:27" x14ac:dyDescent="0.2">
      <c r="AA201" s="93"/>
    </row>
    <row r="202" spans="27:27" x14ac:dyDescent="0.2">
      <c r="AA202" s="93"/>
    </row>
    <row r="203" spans="27:27" x14ac:dyDescent="0.2">
      <c r="AA203" s="93"/>
    </row>
    <row r="204" spans="27:27" x14ac:dyDescent="0.2">
      <c r="AA204" s="93"/>
    </row>
    <row r="205" spans="27:27" x14ac:dyDescent="0.2">
      <c r="AA205" s="93"/>
    </row>
    <row r="206" spans="27:27" x14ac:dyDescent="0.2">
      <c r="AA206" s="93"/>
    </row>
    <row r="207" spans="27:27" x14ac:dyDescent="0.2">
      <c r="AA207" s="93"/>
    </row>
    <row r="208" spans="27:27" x14ac:dyDescent="0.2">
      <c r="AA208" s="93"/>
    </row>
    <row r="209" spans="27:27" x14ac:dyDescent="0.2">
      <c r="AA209" s="93"/>
    </row>
    <row r="210" spans="27:27" x14ac:dyDescent="0.2">
      <c r="AA210" s="93"/>
    </row>
    <row r="211" spans="27:27" x14ac:dyDescent="0.2">
      <c r="AA211" s="93"/>
    </row>
    <row r="212" spans="27:27" x14ac:dyDescent="0.2">
      <c r="AA212" s="93"/>
    </row>
    <row r="213" spans="27:27" x14ac:dyDescent="0.2">
      <c r="AA213" s="93"/>
    </row>
    <row r="214" spans="27:27" x14ac:dyDescent="0.2">
      <c r="AA214" s="93"/>
    </row>
    <row r="215" spans="27:27" x14ac:dyDescent="0.2">
      <c r="AA215" s="93"/>
    </row>
    <row r="216" spans="27:27" x14ac:dyDescent="0.2">
      <c r="AA216" s="93"/>
    </row>
    <row r="217" spans="27:27" x14ac:dyDescent="0.2">
      <c r="AA217" s="93"/>
    </row>
    <row r="218" spans="27:27" x14ac:dyDescent="0.2">
      <c r="AA218" s="93"/>
    </row>
    <row r="219" spans="27:27" x14ac:dyDescent="0.2">
      <c r="AA219" s="93"/>
    </row>
    <row r="220" spans="27:27" x14ac:dyDescent="0.2">
      <c r="AA220" s="93"/>
    </row>
    <row r="221" spans="27:27" x14ac:dyDescent="0.2">
      <c r="AA221" s="93"/>
    </row>
    <row r="222" spans="27:27" x14ac:dyDescent="0.2">
      <c r="AA222" s="93"/>
    </row>
    <row r="223" spans="27:27" x14ac:dyDescent="0.2">
      <c r="AA223" s="93"/>
    </row>
    <row r="224" spans="27:27" x14ac:dyDescent="0.2">
      <c r="AA224" s="93"/>
    </row>
    <row r="225" spans="12:27" x14ac:dyDescent="0.2">
      <c r="AA225" s="93"/>
    </row>
    <row r="226" spans="12:27" x14ac:dyDescent="0.2">
      <c r="AA226" s="93"/>
    </row>
    <row r="227" spans="12:27" ht="15" x14ac:dyDescent="0.2">
      <c r="L227" s="29" t="s">
        <v>63</v>
      </c>
      <c r="AA227" s="93"/>
    </row>
    <row r="228" spans="12:27" x14ac:dyDescent="0.2">
      <c r="AA228" s="93"/>
    </row>
    <row r="229" spans="12:27" x14ac:dyDescent="0.2">
      <c r="AA229" s="93"/>
    </row>
    <row r="230" spans="12:27" x14ac:dyDescent="0.2">
      <c r="AA230" s="93"/>
    </row>
    <row r="231" spans="12:27" x14ac:dyDescent="0.2">
      <c r="AA231" s="93"/>
    </row>
    <row r="232" spans="12:27" x14ac:dyDescent="0.2">
      <c r="AA232" s="93"/>
    </row>
    <row r="233" spans="12:27" x14ac:dyDescent="0.2">
      <c r="AA233" s="93"/>
    </row>
    <row r="234" spans="12:27" x14ac:dyDescent="0.2">
      <c r="AA234" s="93"/>
    </row>
    <row r="235" spans="12:27" x14ac:dyDescent="0.2">
      <c r="AA235" s="93"/>
    </row>
    <row r="236" spans="12:27" x14ac:dyDescent="0.2">
      <c r="AA236" s="93"/>
    </row>
    <row r="237" spans="12:27" x14ac:dyDescent="0.2">
      <c r="AA237" s="93"/>
    </row>
    <row r="238" spans="12:27" x14ac:dyDescent="0.2">
      <c r="AA238" s="93"/>
    </row>
    <row r="239" spans="12:27" x14ac:dyDescent="0.2">
      <c r="AA239" s="93"/>
    </row>
    <row r="240" spans="12:27" x14ac:dyDescent="0.2">
      <c r="AA240" s="93"/>
    </row>
    <row r="241" spans="27:27" x14ac:dyDescent="0.2">
      <c r="AA241" s="93"/>
    </row>
    <row r="242" spans="27:27" x14ac:dyDescent="0.2">
      <c r="AA242" s="93"/>
    </row>
    <row r="243" spans="27:27" x14ac:dyDescent="0.2">
      <c r="AA243" s="93"/>
    </row>
    <row r="244" spans="27:27" x14ac:dyDescent="0.2">
      <c r="AA244" s="93"/>
    </row>
    <row r="245" spans="27:27" x14ac:dyDescent="0.2">
      <c r="AA245" s="93"/>
    </row>
    <row r="246" spans="27:27" x14ac:dyDescent="0.2">
      <c r="AA246" s="93"/>
    </row>
    <row r="247" spans="27:27" x14ac:dyDescent="0.2">
      <c r="AA247" s="93"/>
    </row>
    <row r="248" spans="27:27" x14ac:dyDescent="0.2">
      <c r="AA248" s="93"/>
    </row>
    <row r="249" spans="27:27" x14ac:dyDescent="0.2">
      <c r="AA249" s="93"/>
    </row>
    <row r="250" spans="27:27" x14ac:dyDescent="0.2">
      <c r="AA250" s="93"/>
    </row>
    <row r="251" spans="27:27" x14ac:dyDescent="0.2">
      <c r="AA251" s="93"/>
    </row>
    <row r="252" spans="27:27" x14ac:dyDescent="0.2">
      <c r="AA252" s="93"/>
    </row>
    <row r="253" spans="27:27" x14ac:dyDescent="0.2">
      <c r="AA253" s="93"/>
    </row>
    <row r="254" spans="27:27" x14ac:dyDescent="0.2">
      <c r="AA254" s="93"/>
    </row>
    <row r="255" spans="27:27" x14ac:dyDescent="0.2">
      <c r="AA255" s="93"/>
    </row>
    <row r="256" spans="27:27" x14ac:dyDescent="0.2">
      <c r="AA256" s="93"/>
    </row>
    <row r="257" spans="27:27" x14ac:dyDescent="0.2">
      <c r="AA257" s="93"/>
    </row>
    <row r="258" spans="27:27" x14ac:dyDescent="0.2">
      <c r="AA258" s="93"/>
    </row>
    <row r="259" spans="27:27" x14ac:dyDescent="0.2">
      <c r="AA259" s="93"/>
    </row>
    <row r="260" spans="27:27" x14ac:dyDescent="0.2">
      <c r="AA260" s="93"/>
    </row>
    <row r="261" spans="27:27" x14ac:dyDescent="0.2">
      <c r="AA261" s="93"/>
    </row>
    <row r="262" spans="27:27" x14ac:dyDescent="0.2">
      <c r="AA262" s="93"/>
    </row>
    <row r="263" spans="27:27" x14ac:dyDescent="0.2">
      <c r="AA263" s="93"/>
    </row>
    <row r="264" spans="27:27" x14ac:dyDescent="0.2">
      <c r="AA264" s="93"/>
    </row>
    <row r="265" spans="27:27" x14ac:dyDescent="0.2">
      <c r="AA265" s="93"/>
    </row>
    <row r="266" spans="27:27" x14ac:dyDescent="0.2">
      <c r="AA266" s="93"/>
    </row>
    <row r="267" spans="27:27" x14ac:dyDescent="0.2">
      <c r="AA267" s="93"/>
    </row>
    <row r="268" spans="27:27" x14ac:dyDescent="0.2">
      <c r="AA268" s="93"/>
    </row>
    <row r="269" spans="27:27" x14ac:dyDescent="0.2">
      <c r="AA269" s="93"/>
    </row>
    <row r="270" spans="27:27" x14ac:dyDescent="0.2">
      <c r="AA270" s="93"/>
    </row>
    <row r="271" spans="27:27" x14ac:dyDescent="0.2">
      <c r="AA271" s="93"/>
    </row>
    <row r="272" spans="27:27" x14ac:dyDescent="0.2">
      <c r="AA272" s="93"/>
    </row>
    <row r="273" spans="27:27" x14ac:dyDescent="0.2">
      <c r="AA273" s="93"/>
    </row>
    <row r="274" spans="27:27" x14ac:dyDescent="0.2">
      <c r="AA274" s="93"/>
    </row>
    <row r="275" spans="27:27" x14ac:dyDescent="0.2">
      <c r="AA275" s="93"/>
    </row>
    <row r="276" spans="27:27" x14ac:dyDescent="0.2">
      <c r="AA276" s="93"/>
    </row>
    <row r="277" spans="27:27" x14ac:dyDescent="0.2">
      <c r="AA277" s="93"/>
    </row>
    <row r="278" spans="27:27" x14ac:dyDescent="0.2">
      <c r="AA278" s="93"/>
    </row>
    <row r="279" spans="27:27" x14ac:dyDescent="0.2">
      <c r="AA279" s="93"/>
    </row>
    <row r="280" spans="27:27" x14ac:dyDescent="0.2">
      <c r="AA280" s="93"/>
    </row>
    <row r="281" spans="27:27" x14ac:dyDescent="0.2">
      <c r="AA281" s="93"/>
    </row>
    <row r="282" spans="27:27" x14ac:dyDescent="0.2">
      <c r="AA282" s="93"/>
    </row>
    <row r="283" spans="27:27" x14ac:dyDescent="0.2">
      <c r="AA283" s="93"/>
    </row>
    <row r="284" spans="27:27" x14ac:dyDescent="0.2">
      <c r="AA284" s="93"/>
    </row>
    <row r="285" spans="27:27" x14ac:dyDescent="0.2">
      <c r="AA285" s="93"/>
    </row>
    <row r="286" spans="27:27" x14ac:dyDescent="0.2">
      <c r="AA286" s="93"/>
    </row>
    <row r="287" spans="27:27" x14ac:dyDescent="0.2">
      <c r="AA287" s="93"/>
    </row>
    <row r="288" spans="27:27" x14ac:dyDescent="0.2">
      <c r="AA288" s="93"/>
    </row>
    <row r="289" spans="27:27" x14ac:dyDescent="0.2">
      <c r="AA289" s="93"/>
    </row>
    <row r="290" spans="27:27" x14ac:dyDescent="0.2">
      <c r="AA290" s="93"/>
    </row>
    <row r="291" spans="27:27" x14ac:dyDescent="0.2">
      <c r="AA291" s="93"/>
    </row>
    <row r="292" spans="27:27" x14ac:dyDescent="0.2">
      <c r="AA292" s="93"/>
    </row>
    <row r="293" spans="27:27" x14ac:dyDescent="0.2">
      <c r="AA293" s="93"/>
    </row>
    <row r="294" spans="27:27" x14ac:dyDescent="0.2">
      <c r="AA294" s="93"/>
    </row>
    <row r="295" spans="27:27" x14ac:dyDescent="0.2">
      <c r="AA295" s="93"/>
    </row>
    <row r="296" spans="27:27" x14ac:dyDescent="0.2">
      <c r="AA296" s="93"/>
    </row>
    <row r="297" spans="27:27" x14ac:dyDescent="0.2">
      <c r="AA297" s="93"/>
    </row>
    <row r="298" spans="27:27" x14ac:dyDescent="0.2">
      <c r="AA298" s="93"/>
    </row>
    <row r="299" spans="27:27" x14ac:dyDescent="0.2">
      <c r="AA299" s="93"/>
    </row>
    <row r="300" spans="27:27" x14ac:dyDescent="0.2">
      <c r="AA300" s="93"/>
    </row>
    <row r="301" spans="27:27" x14ac:dyDescent="0.2">
      <c r="AA301" s="93"/>
    </row>
    <row r="302" spans="27:27" x14ac:dyDescent="0.2">
      <c r="AA302" s="93"/>
    </row>
    <row r="303" spans="27:27" x14ac:dyDescent="0.2">
      <c r="AA303" s="93"/>
    </row>
    <row r="304" spans="27:27" x14ac:dyDescent="0.2">
      <c r="AA304" s="93"/>
    </row>
    <row r="305" spans="27:27" x14ac:dyDescent="0.2">
      <c r="AA305" s="93"/>
    </row>
    <row r="306" spans="27:27" x14ac:dyDescent="0.2">
      <c r="AA306" s="93"/>
    </row>
    <row r="307" spans="27:27" x14ac:dyDescent="0.2">
      <c r="AA307" s="93"/>
    </row>
    <row r="308" spans="27:27" x14ac:dyDescent="0.2">
      <c r="AA308" s="93"/>
    </row>
    <row r="309" spans="27:27" x14ac:dyDescent="0.2">
      <c r="AA309" s="93"/>
    </row>
    <row r="310" spans="27:27" x14ac:dyDescent="0.2">
      <c r="AA310" s="93"/>
    </row>
    <row r="311" spans="27:27" x14ac:dyDescent="0.2">
      <c r="AA311" s="93"/>
    </row>
    <row r="312" spans="27:27" x14ac:dyDescent="0.2">
      <c r="AA312" s="93"/>
    </row>
    <row r="313" spans="27:27" x14ac:dyDescent="0.2">
      <c r="AA313" s="93"/>
    </row>
    <row r="314" spans="27:27" x14ac:dyDescent="0.2">
      <c r="AA314" s="93"/>
    </row>
    <row r="315" spans="27:27" x14ac:dyDescent="0.2">
      <c r="AA315" s="93"/>
    </row>
    <row r="316" spans="27:27" x14ac:dyDescent="0.2">
      <c r="AA316" s="93"/>
    </row>
    <row r="317" spans="27:27" x14ac:dyDescent="0.2">
      <c r="AA317" s="93"/>
    </row>
    <row r="318" spans="27:27" x14ac:dyDescent="0.2">
      <c r="AA318" s="93"/>
    </row>
    <row r="319" spans="27:27" x14ac:dyDescent="0.2">
      <c r="AA319" s="93"/>
    </row>
    <row r="320" spans="27:27" x14ac:dyDescent="0.2">
      <c r="AA320" s="93"/>
    </row>
    <row r="321" spans="27:27" x14ac:dyDescent="0.2">
      <c r="AA321" s="93"/>
    </row>
    <row r="322" spans="27:27" x14ac:dyDescent="0.2">
      <c r="AA322" s="93"/>
    </row>
    <row r="323" spans="27:27" x14ac:dyDescent="0.2">
      <c r="AA323" s="93"/>
    </row>
    <row r="324" spans="27:27" x14ac:dyDescent="0.2">
      <c r="AA324" s="93"/>
    </row>
    <row r="325" spans="27:27" x14ac:dyDescent="0.2">
      <c r="AA325" s="93"/>
    </row>
    <row r="326" spans="27:27" x14ac:dyDescent="0.2">
      <c r="AA326" s="93"/>
    </row>
    <row r="327" spans="27:27" x14ac:dyDescent="0.2">
      <c r="AA327" s="93"/>
    </row>
    <row r="328" spans="27:27" x14ac:dyDescent="0.2">
      <c r="AA328" s="93"/>
    </row>
    <row r="329" spans="27:27" x14ac:dyDescent="0.2">
      <c r="AA329" s="93"/>
    </row>
    <row r="330" spans="27:27" x14ac:dyDescent="0.2">
      <c r="AA330" s="93"/>
    </row>
    <row r="331" spans="27:27" x14ac:dyDescent="0.2">
      <c r="AA331" s="93"/>
    </row>
    <row r="332" spans="27:27" x14ac:dyDescent="0.2">
      <c r="AA332" s="93"/>
    </row>
    <row r="333" spans="27:27" x14ac:dyDescent="0.2">
      <c r="AA333" s="93"/>
    </row>
    <row r="334" spans="27:27" x14ac:dyDescent="0.2">
      <c r="AA334" s="93"/>
    </row>
    <row r="335" spans="27:27" x14ac:dyDescent="0.2">
      <c r="AA335" s="93"/>
    </row>
    <row r="336" spans="27:27" x14ac:dyDescent="0.2">
      <c r="AA336" s="93"/>
    </row>
    <row r="337" spans="27:27" x14ac:dyDescent="0.2">
      <c r="AA337" s="93"/>
    </row>
    <row r="338" spans="27:27" x14ac:dyDescent="0.2">
      <c r="AA338" s="93"/>
    </row>
    <row r="339" spans="27:27" x14ac:dyDescent="0.2">
      <c r="AA339" s="93"/>
    </row>
    <row r="340" spans="27:27" x14ac:dyDescent="0.2">
      <c r="AA340" s="93"/>
    </row>
    <row r="341" spans="27:27" x14ac:dyDescent="0.2">
      <c r="AA341" s="93"/>
    </row>
    <row r="342" spans="27:27" x14ac:dyDescent="0.2">
      <c r="AA342" s="93"/>
    </row>
    <row r="343" spans="27:27" x14ac:dyDescent="0.2">
      <c r="AA343" s="93"/>
    </row>
    <row r="344" spans="27:27" x14ac:dyDescent="0.2">
      <c r="AA344" s="93"/>
    </row>
    <row r="345" spans="27:27" x14ac:dyDescent="0.2">
      <c r="AA345" s="93"/>
    </row>
    <row r="346" spans="27:27" x14ac:dyDescent="0.2">
      <c r="AA346" s="93"/>
    </row>
    <row r="347" spans="27:27" x14ac:dyDescent="0.2">
      <c r="AA347" s="93"/>
    </row>
    <row r="348" spans="27:27" x14ac:dyDescent="0.2">
      <c r="AA348" s="93"/>
    </row>
    <row r="349" spans="27:27" x14ac:dyDescent="0.2">
      <c r="AA349" s="93"/>
    </row>
    <row r="350" spans="27:27" x14ac:dyDescent="0.2">
      <c r="AA350" s="93"/>
    </row>
    <row r="351" spans="27:27" x14ac:dyDescent="0.2">
      <c r="AA351" s="93"/>
    </row>
    <row r="352" spans="27:27" x14ac:dyDescent="0.2">
      <c r="AA352" s="93"/>
    </row>
    <row r="353" spans="27:27" x14ac:dyDescent="0.2">
      <c r="AA353" s="93"/>
    </row>
    <row r="354" spans="27:27" x14ac:dyDescent="0.2">
      <c r="AA354" s="93"/>
    </row>
    <row r="355" spans="27:27" x14ac:dyDescent="0.2">
      <c r="AA355" s="93"/>
    </row>
    <row r="356" spans="27:27" x14ac:dyDescent="0.2">
      <c r="AA356" s="93"/>
    </row>
    <row r="357" spans="27:27" x14ac:dyDescent="0.2">
      <c r="AA357" s="93"/>
    </row>
    <row r="358" spans="27:27" x14ac:dyDescent="0.2">
      <c r="AA358" s="93"/>
    </row>
    <row r="359" spans="27:27" x14ac:dyDescent="0.2">
      <c r="AA359" s="93"/>
    </row>
    <row r="360" spans="27:27" x14ac:dyDescent="0.2">
      <c r="AA360" s="93"/>
    </row>
    <row r="361" spans="27:27" x14ac:dyDescent="0.2">
      <c r="AA361" s="93"/>
    </row>
    <row r="362" spans="27:27" x14ac:dyDescent="0.2">
      <c r="AA362" s="93"/>
    </row>
    <row r="363" spans="27:27" x14ac:dyDescent="0.2">
      <c r="AA363" s="93"/>
    </row>
    <row r="364" spans="27:27" x14ac:dyDescent="0.2">
      <c r="AA364" s="93"/>
    </row>
    <row r="365" spans="27:27" x14ac:dyDescent="0.2">
      <c r="AA365" s="93"/>
    </row>
    <row r="366" spans="27:27" x14ac:dyDescent="0.2">
      <c r="AA366" s="93"/>
    </row>
    <row r="367" spans="27:27" x14ac:dyDescent="0.2">
      <c r="AA367" s="93"/>
    </row>
    <row r="368" spans="27:27" x14ac:dyDescent="0.2">
      <c r="AA368" s="93"/>
    </row>
    <row r="369" spans="27:27" x14ac:dyDescent="0.2">
      <c r="AA369" s="93"/>
    </row>
    <row r="370" spans="27:27" x14ac:dyDescent="0.2">
      <c r="AA370" s="93"/>
    </row>
    <row r="371" spans="27:27" x14ac:dyDescent="0.2">
      <c r="AA371" s="93"/>
    </row>
    <row r="372" spans="27:27" x14ac:dyDescent="0.2">
      <c r="AA372" s="93"/>
    </row>
    <row r="373" spans="27:27" x14ac:dyDescent="0.2">
      <c r="AA373" s="93"/>
    </row>
    <row r="374" spans="27:27" x14ac:dyDescent="0.2">
      <c r="AA374" s="93"/>
    </row>
    <row r="375" spans="27:27" x14ac:dyDescent="0.2">
      <c r="AA375" s="93"/>
    </row>
    <row r="376" spans="27:27" x14ac:dyDescent="0.2">
      <c r="AA376" s="93"/>
    </row>
    <row r="377" spans="27:27" x14ac:dyDescent="0.2">
      <c r="AA377" s="93"/>
    </row>
    <row r="378" spans="27:27" x14ac:dyDescent="0.2">
      <c r="AA378" s="93"/>
    </row>
    <row r="379" spans="27:27" x14ac:dyDescent="0.2">
      <c r="AA379" s="93"/>
    </row>
    <row r="380" spans="27:27" x14ac:dyDescent="0.2">
      <c r="AA380" s="93"/>
    </row>
    <row r="381" spans="27:27" x14ac:dyDescent="0.2">
      <c r="AA381" s="93"/>
    </row>
    <row r="382" spans="27:27" x14ac:dyDescent="0.2">
      <c r="AA382" s="93"/>
    </row>
    <row r="383" spans="27:27" x14ac:dyDescent="0.2">
      <c r="AA383" s="93"/>
    </row>
    <row r="384" spans="27:27" x14ac:dyDescent="0.2">
      <c r="AA384" s="93"/>
    </row>
    <row r="385" spans="27:27" x14ac:dyDescent="0.2">
      <c r="AA385" s="93"/>
    </row>
    <row r="386" spans="27:27" x14ac:dyDescent="0.2">
      <c r="AA386" s="93"/>
    </row>
    <row r="387" spans="27:27" x14ac:dyDescent="0.2">
      <c r="AA387" s="93"/>
    </row>
    <row r="388" spans="27:27" x14ac:dyDescent="0.2">
      <c r="AA388" s="93"/>
    </row>
    <row r="389" spans="27:27" x14ac:dyDescent="0.2">
      <c r="AA389" s="93"/>
    </row>
    <row r="390" spans="27:27" x14ac:dyDescent="0.2">
      <c r="AA390" s="93"/>
    </row>
  </sheetData>
  <sheetProtection algorithmName="SHA-512" hashValue="pqWUEw1Ksbv/zy8LLdCD2yhATOGTDk80KCUmJnYo3i0mXz8/Zllm4GWzckHVR1Q5vLcJPkQnLkUanxpryFtGlA==" saltValue="hkyM+xlMm407PxqEbvcroA==" spinCount="100000" sheet="1" objects="1" scenarios="1"/>
  <mergeCells count="1">
    <mergeCell ref="Y2:Z2"/>
  </mergeCells>
  <phoneticPr fontId="0" type="noConversion"/>
  <conditionalFormatting sqref="D3:D73">
    <cfRule type="dataBar" priority="10">
      <dataBar>
        <cfvo type="min"/>
        <cfvo type="max"/>
        <color rgb="FFFF0000"/>
      </dataBar>
      <extLst>
        <ext xmlns:x14="http://schemas.microsoft.com/office/spreadsheetml/2009/9/main" uri="{B025F937-C7B1-47D3-B67F-A62EFF666E3E}">
          <x14:id>{B4F6CBA3-06A8-419B-BA55-68477B0F33EB}</x14:id>
        </ext>
      </extLst>
    </cfRule>
  </conditionalFormatting>
  <conditionalFormatting sqref="E3:E73">
    <cfRule type="dataBar" priority="8">
      <dataBar>
        <cfvo type="min"/>
        <cfvo type="max"/>
        <color rgb="FFFF0000"/>
      </dataBar>
      <extLst>
        <ext xmlns:x14="http://schemas.microsoft.com/office/spreadsheetml/2009/9/main" uri="{B025F937-C7B1-47D3-B67F-A62EFF666E3E}">
          <x14:id>{DF3803F3-E920-4B77-977A-F1D916671516}</x14:id>
        </ext>
      </extLst>
    </cfRule>
  </conditionalFormatting>
  <conditionalFormatting sqref="F3:F73">
    <cfRule type="dataBar" priority="7">
      <dataBar>
        <cfvo type="min"/>
        <cfvo type="max"/>
        <color rgb="FFFF0000"/>
      </dataBar>
      <extLst>
        <ext xmlns:x14="http://schemas.microsoft.com/office/spreadsheetml/2009/9/main" uri="{B025F937-C7B1-47D3-B67F-A62EFF666E3E}">
          <x14:id>{C7B0D269-F34A-4162-BA8B-7D4665DC967D}</x14:id>
        </ext>
      </extLst>
    </cfRule>
  </conditionalFormatting>
  <conditionalFormatting sqref="D75:D115">
    <cfRule type="dataBar" priority="6">
      <dataBar>
        <cfvo type="min"/>
        <cfvo type="max"/>
        <color rgb="FF638EC6"/>
      </dataBar>
      <extLst>
        <ext xmlns:x14="http://schemas.microsoft.com/office/spreadsheetml/2009/9/main" uri="{B025F937-C7B1-47D3-B67F-A62EFF666E3E}">
          <x14:id>{2012FAEC-A589-4C9D-B33E-D0FADCAE9AF8}</x14:id>
        </ext>
      </extLst>
    </cfRule>
  </conditionalFormatting>
  <conditionalFormatting sqref="E75:E116">
    <cfRule type="dataBar" priority="5">
      <dataBar>
        <cfvo type="min"/>
        <cfvo type="max"/>
        <color rgb="FF638EC6"/>
      </dataBar>
      <extLst>
        <ext xmlns:x14="http://schemas.microsoft.com/office/spreadsheetml/2009/9/main" uri="{B025F937-C7B1-47D3-B67F-A62EFF666E3E}">
          <x14:id>{17748755-EFA8-43DB-B5B9-A976D7EFA9B9}</x14:id>
        </ext>
      </extLst>
    </cfRule>
  </conditionalFormatting>
  <conditionalFormatting sqref="F75:F116">
    <cfRule type="dataBar" priority="4">
      <dataBar>
        <cfvo type="min"/>
        <cfvo type="max"/>
        <color rgb="FF638EC6"/>
      </dataBar>
      <extLst>
        <ext xmlns:x14="http://schemas.microsoft.com/office/spreadsheetml/2009/9/main" uri="{B025F937-C7B1-47D3-B67F-A62EFF666E3E}">
          <x14:id>{C5683A65-4170-451B-89C1-CD50BEDC39A6}</x14:id>
        </ext>
      </extLst>
    </cfRule>
  </conditionalFormatting>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Document" dvAspect="DVASPECT_ICON" shapeId="6146" r:id="rId4">
          <objectPr defaultSize="0" r:id="rId5">
            <anchor moveWithCells="1">
              <from>
                <xdr:col>11</xdr:col>
                <xdr:colOff>485775</xdr:colOff>
                <xdr:row>8</xdr:row>
                <xdr:rowOff>190500</xdr:rowOff>
              </from>
              <to>
                <xdr:col>13</xdr:col>
                <xdr:colOff>180975</xdr:colOff>
                <xdr:row>12</xdr:row>
                <xdr:rowOff>76200</xdr:rowOff>
              </to>
            </anchor>
          </objectPr>
        </oleObject>
      </mc:Choice>
      <mc:Fallback>
        <oleObject progId="Document" dvAspect="DVASPECT_ICON" shapeId="6146" r:id="rId4"/>
      </mc:Fallback>
    </mc:AlternateContent>
    <mc:AlternateContent xmlns:mc="http://schemas.openxmlformats.org/markup-compatibility/2006">
      <mc:Choice Requires="x14">
        <oleObject progId="Document" dvAspect="DVASPECT_ICON" shapeId="6147" r:id="rId6">
          <objectPr defaultSize="0" r:id="rId7">
            <anchor moveWithCells="1">
              <from>
                <xdr:col>11</xdr:col>
                <xdr:colOff>504825</xdr:colOff>
                <xdr:row>13</xdr:row>
                <xdr:rowOff>85725</xdr:rowOff>
              </from>
              <to>
                <xdr:col>13</xdr:col>
                <xdr:colOff>200025</xdr:colOff>
                <xdr:row>16</xdr:row>
                <xdr:rowOff>171450</xdr:rowOff>
              </to>
            </anchor>
          </objectPr>
        </oleObject>
      </mc:Choice>
      <mc:Fallback>
        <oleObject progId="Document" dvAspect="DVASPECT_ICON" shapeId="6147" r:id="rId6"/>
      </mc:Fallback>
    </mc:AlternateContent>
    <mc:AlternateContent xmlns:mc="http://schemas.openxmlformats.org/markup-compatibility/2006">
      <mc:Choice Requires="x14">
        <oleObject progId="Document" dvAspect="DVASPECT_ICON" shapeId="6148" r:id="rId8">
          <objectPr defaultSize="0" r:id="rId9">
            <anchor moveWithCells="1">
              <from>
                <xdr:col>11</xdr:col>
                <xdr:colOff>485775</xdr:colOff>
                <xdr:row>18</xdr:row>
                <xdr:rowOff>0</xdr:rowOff>
              </from>
              <to>
                <xdr:col>13</xdr:col>
                <xdr:colOff>123825</xdr:colOff>
                <xdr:row>21</xdr:row>
                <xdr:rowOff>123825</xdr:rowOff>
              </to>
            </anchor>
          </objectPr>
        </oleObject>
      </mc:Choice>
      <mc:Fallback>
        <oleObject progId="Document" dvAspect="DVASPECT_ICON" shapeId="6148" r:id="rId8"/>
      </mc:Fallback>
    </mc:AlternateContent>
    <mc:AlternateContent xmlns:mc="http://schemas.openxmlformats.org/markup-compatibility/2006">
      <mc:Choice Requires="x14">
        <oleObject progId="Presentation" dvAspect="DVASPECT_ICON" shapeId="6149" r:id="rId10">
          <objectPr defaultSize="0" autoPict="0" r:id="rId11">
            <anchor moveWithCells="1">
              <from>
                <xdr:col>23</xdr:col>
                <xdr:colOff>504825</xdr:colOff>
                <xdr:row>13</xdr:row>
                <xdr:rowOff>123825</xdr:rowOff>
              </from>
              <to>
                <xdr:col>25</xdr:col>
                <xdr:colOff>238125</xdr:colOff>
                <xdr:row>16</xdr:row>
                <xdr:rowOff>123825</xdr:rowOff>
              </to>
            </anchor>
          </objectPr>
        </oleObject>
      </mc:Choice>
      <mc:Fallback>
        <oleObject progId="Presentation" dvAspect="DVASPECT_ICON" shapeId="6149" r:id="rId10"/>
      </mc:Fallback>
    </mc:AlternateContent>
    <mc:AlternateContent xmlns:mc="http://schemas.openxmlformats.org/markup-compatibility/2006">
      <mc:Choice Requires="x14">
        <oleObject progId="Document" dvAspect="DVASPECT_ICON" shapeId="6151" r:id="rId12">
          <objectPr defaultSize="0" r:id="rId13">
            <anchor moveWithCells="1">
              <from>
                <xdr:col>11</xdr:col>
                <xdr:colOff>466725</xdr:colOff>
                <xdr:row>22</xdr:row>
                <xdr:rowOff>123825</xdr:rowOff>
              </from>
              <to>
                <xdr:col>13</xdr:col>
                <xdr:colOff>171450</xdr:colOff>
                <xdr:row>26</xdr:row>
                <xdr:rowOff>104775</xdr:rowOff>
              </to>
            </anchor>
          </objectPr>
        </oleObject>
      </mc:Choice>
      <mc:Fallback>
        <oleObject progId="Document" dvAspect="DVASPECT_ICON" shapeId="6151" r:id="rId12"/>
      </mc:Fallback>
    </mc:AlternateContent>
    <mc:AlternateContent xmlns:mc="http://schemas.openxmlformats.org/markup-compatibility/2006">
      <mc:Choice Requires="x14">
        <oleObject progId="Document" dvAspect="DVASPECT_ICON" shapeId="6153" r:id="rId14">
          <objectPr defaultSize="0" r:id="rId15">
            <anchor moveWithCells="1">
              <from>
                <xdr:col>11</xdr:col>
                <xdr:colOff>438150</xdr:colOff>
                <xdr:row>28</xdr:row>
                <xdr:rowOff>57150</xdr:rowOff>
              </from>
              <to>
                <xdr:col>13</xdr:col>
                <xdr:colOff>133350</xdr:colOff>
                <xdr:row>31</xdr:row>
                <xdr:rowOff>142875</xdr:rowOff>
              </to>
            </anchor>
          </objectPr>
        </oleObject>
      </mc:Choice>
      <mc:Fallback>
        <oleObject progId="Document" dvAspect="DVASPECT_ICON" shapeId="6153" r:id="rId14"/>
      </mc:Fallback>
    </mc:AlternateContent>
    <mc:AlternateContent xmlns:mc="http://schemas.openxmlformats.org/markup-compatibility/2006">
      <mc:Choice Requires="x14">
        <oleObject progId="Document" dvAspect="DVASPECT_ICON" shapeId="6154" r:id="rId16">
          <objectPr defaultSize="0" r:id="rId17">
            <anchor moveWithCells="1">
              <from>
                <xdr:col>11</xdr:col>
                <xdr:colOff>438150</xdr:colOff>
                <xdr:row>32</xdr:row>
                <xdr:rowOff>190500</xdr:rowOff>
              </from>
              <to>
                <xdr:col>13</xdr:col>
                <xdr:colOff>133350</xdr:colOff>
                <xdr:row>36</xdr:row>
                <xdr:rowOff>152400</xdr:rowOff>
              </to>
            </anchor>
          </objectPr>
        </oleObject>
      </mc:Choice>
      <mc:Fallback>
        <oleObject progId="Document" dvAspect="DVASPECT_ICON" shapeId="6154" r:id="rId16"/>
      </mc:Fallback>
    </mc:AlternateContent>
    <mc:AlternateContent xmlns:mc="http://schemas.openxmlformats.org/markup-compatibility/2006">
      <mc:Choice Requires="x14">
        <oleObject progId="Document" dvAspect="DVASPECT_ICON" shapeId="6155" r:id="rId18">
          <objectPr defaultSize="0" r:id="rId19">
            <anchor moveWithCells="1">
              <from>
                <xdr:col>12</xdr:col>
                <xdr:colOff>0</xdr:colOff>
                <xdr:row>38</xdr:row>
                <xdr:rowOff>0</xdr:rowOff>
              </from>
              <to>
                <xdr:col>13</xdr:col>
                <xdr:colOff>304800</xdr:colOff>
                <xdr:row>41</xdr:row>
                <xdr:rowOff>171450</xdr:rowOff>
              </to>
            </anchor>
          </objectPr>
        </oleObject>
      </mc:Choice>
      <mc:Fallback>
        <oleObject progId="Document" dvAspect="DVASPECT_ICON" shapeId="6155" r:id="rId18"/>
      </mc:Fallback>
    </mc:AlternateContent>
  </oleObjects>
  <extLst>
    <ext xmlns:x14="http://schemas.microsoft.com/office/spreadsheetml/2009/9/main" uri="{78C0D931-6437-407d-A8EE-F0AAD7539E65}">
      <x14:conditionalFormattings>
        <x14:conditionalFormatting xmlns:xm="http://schemas.microsoft.com/office/excel/2006/main">
          <x14:cfRule type="dataBar" id="{B4F6CBA3-06A8-419B-BA55-68477B0F33EB}">
            <x14:dataBar minLength="0" maxLength="100" gradient="0">
              <x14:cfvo type="min"/>
              <x14:cfvo type="max"/>
              <x14:negativeFillColor rgb="FFFF0000"/>
              <x14:axisColor rgb="FF000000"/>
            </x14:dataBar>
          </x14:cfRule>
          <xm:sqref>D3:D73</xm:sqref>
        </x14:conditionalFormatting>
        <x14:conditionalFormatting xmlns:xm="http://schemas.microsoft.com/office/excel/2006/main">
          <x14:cfRule type="dataBar" id="{DF3803F3-E920-4B77-977A-F1D916671516}">
            <x14:dataBar minLength="0" maxLength="100" gradient="0">
              <x14:cfvo type="min"/>
              <x14:cfvo type="max"/>
              <x14:negativeFillColor rgb="FFFF0000"/>
              <x14:axisColor rgb="FF000000"/>
            </x14:dataBar>
          </x14:cfRule>
          <xm:sqref>E3:E73</xm:sqref>
        </x14:conditionalFormatting>
        <x14:conditionalFormatting xmlns:xm="http://schemas.microsoft.com/office/excel/2006/main">
          <x14:cfRule type="dataBar" id="{C7B0D269-F34A-4162-BA8B-7D4665DC967D}">
            <x14:dataBar minLength="0" maxLength="100" gradient="0">
              <x14:cfvo type="min"/>
              <x14:cfvo type="max"/>
              <x14:negativeFillColor rgb="FFFF0000"/>
              <x14:axisColor rgb="FF000000"/>
            </x14:dataBar>
          </x14:cfRule>
          <xm:sqref>F3:F73</xm:sqref>
        </x14:conditionalFormatting>
        <x14:conditionalFormatting xmlns:xm="http://schemas.microsoft.com/office/excel/2006/main">
          <x14:cfRule type="dataBar" id="{2012FAEC-A589-4C9D-B33E-D0FADCAE9AF8}">
            <x14:dataBar minLength="0" maxLength="100" gradient="0">
              <x14:cfvo type="min"/>
              <x14:cfvo type="max"/>
              <x14:negativeFillColor rgb="FFFF0000"/>
              <x14:axisColor rgb="FF000000"/>
            </x14:dataBar>
          </x14:cfRule>
          <xm:sqref>D75:D115</xm:sqref>
        </x14:conditionalFormatting>
        <x14:conditionalFormatting xmlns:xm="http://schemas.microsoft.com/office/excel/2006/main">
          <x14:cfRule type="dataBar" id="{17748755-EFA8-43DB-B5B9-A976D7EFA9B9}">
            <x14:dataBar minLength="0" maxLength="100" gradient="0">
              <x14:cfvo type="min"/>
              <x14:cfvo type="max"/>
              <x14:negativeFillColor rgb="FFFF0000"/>
              <x14:axisColor rgb="FF000000"/>
            </x14:dataBar>
          </x14:cfRule>
          <xm:sqref>E75:E116</xm:sqref>
        </x14:conditionalFormatting>
        <x14:conditionalFormatting xmlns:xm="http://schemas.microsoft.com/office/excel/2006/main">
          <x14:cfRule type="dataBar" id="{C5683A65-4170-451B-89C1-CD50BEDC39A6}">
            <x14:dataBar minLength="0" maxLength="100" gradient="0">
              <x14:cfvo type="min"/>
              <x14:cfvo type="max"/>
              <x14:negativeFillColor rgb="FFFF0000"/>
              <x14:axisColor rgb="FF000000"/>
            </x14:dataBar>
          </x14:cfRule>
          <xm:sqref>F75:F116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zoomScale="90" zoomScaleNormal="90" workbookViewId="0">
      <selection activeCell="O47" sqref="O47"/>
    </sheetView>
  </sheetViews>
  <sheetFormatPr defaultRowHeight="12.75" x14ac:dyDescent="0.2"/>
  <cols>
    <col min="1" max="16384" width="9.140625" style="92"/>
  </cols>
  <sheetData/>
  <sheetProtection algorithmName="SHA-512" hashValue="qw/EPeXOlA5GMQD/KSjtvqpaaFSfjcd87aIN1g7eY60rlQRevl9hdYbEd2NbbPji3j54Wu4bwmCEK/DGafG8WQ==" saltValue="GjTQVlMmqumiPSAvgF0DtA=="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X41"/>
  <sheetViews>
    <sheetView topLeftCell="AD1" zoomScale="85" zoomScaleNormal="85" workbookViewId="0">
      <selection activeCell="AT24" sqref="AT24:AT30"/>
    </sheetView>
  </sheetViews>
  <sheetFormatPr defaultRowHeight="12.75" x14ac:dyDescent="0.2"/>
  <cols>
    <col min="4" max="4" width="4.5703125" customWidth="1"/>
    <col min="5" max="5" width="4" customWidth="1"/>
    <col min="19" max="19" width="44.85546875" customWidth="1"/>
    <col min="20" max="21" width="12.7109375" customWidth="1"/>
    <col min="22" max="22" width="14.7109375" bestFit="1" customWidth="1"/>
    <col min="23" max="24" width="12.7109375" customWidth="1"/>
    <col min="32" max="32" width="8.85546875" customWidth="1"/>
  </cols>
  <sheetData>
    <row r="1" spans="1:50" ht="18.75" thickBot="1" x14ac:dyDescent="0.3">
      <c r="A1" s="55" t="s">
        <v>93</v>
      </c>
      <c r="B1" s="69" t="s">
        <v>92</v>
      </c>
      <c r="C1" s="56" t="s">
        <v>91</v>
      </c>
      <c r="E1" s="31" t="s">
        <v>122</v>
      </c>
      <c r="F1">
        <f>'W &amp; B'!I6</f>
        <v>0</v>
      </c>
      <c r="G1" s="31" t="s">
        <v>123</v>
      </c>
      <c r="H1">
        <f>'W &amp; B'!I7</f>
        <v>0</v>
      </c>
      <c r="L1" t="s">
        <v>105</v>
      </c>
      <c r="M1" t="s">
        <v>92</v>
      </c>
      <c r="N1" t="s">
        <v>104</v>
      </c>
      <c r="O1" t="s">
        <v>91</v>
      </c>
      <c r="Z1" s="344" t="s">
        <v>161</v>
      </c>
      <c r="AA1" s="344"/>
      <c r="AB1" s="344"/>
      <c r="AC1" s="344"/>
      <c r="AD1" s="344"/>
      <c r="AE1" s="344"/>
      <c r="AF1" s="344"/>
      <c r="AG1" s="344"/>
      <c r="AH1" s="344"/>
      <c r="AI1" s="344"/>
      <c r="AJ1" s="344"/>
      <c r="AK1" s="344"/>
      <c r="AL1" s="344"/>
      <c r="AM1" s="344"/>
      <c r="AN1" s="344"/>
      <c r="AO1" s="344"/>
    </row>
    <row r="2" spans="1:50" x14ac:dyDescent="0.2">
      <c r="A2" s="48">
        <v>-60</v>
      </c>
      <c r="B2">
        <v>4393.7</v>
      </c>
      <c r="C2" s="45">
        <v>-4988.0604999999996</v>
      </c>
      <c r="E2">
        <f>A2</f>
        <v>-60</v>
      </c>
      <c r="F2" s="73" t="s">
        <v>94</v>
      </c>
      <c r="I2" s="70">
        <f>(LEFT(F2,10)*$H$1)-10714.9518</f>
        <v>-10714.951800000001</v>
      </c>
      <c r="L2">
        <v>-60</v>
      </c>
      <c r="M2">
        <v>4970.7659999999996</v>
      </c>
      <c r="N2">
        <f>AVERAGE($M$2:$M$8)</f>
        <v>5011.6669714285717</v>
      </c>
      <c r="O2">
        <v>-4273.1854999999996</v>
      </c>
      <c r="Q2">
        <f>(-0.28608089*x^2)+(125.86246093*x)+4365.85349143</f>
        <v>4365.8534914299998</v>
      </c>
      <c r="Z2" s="346">
        <v>3350</v>
      </c>
      <c r="AA2" s="301"/>
      <c r="AB2" s="346">
        <v>3200</v>
      </c>
      <c r="AC2" s="301"/>
      <c r="AD2" s="346">
        <v>3000</v>
      </c>
      <c r="AE2" s="301"/>
      <c r="AF2" s="346">
        <v>2800</v>
      </c>
      <c r="AG2" s="301"/>
      <c r="AH2" s="346">
        <v>2600</v>
      </c>
      <c r="AI2" s="301"/>
      <c r="AJ2" s="346">
        <v>2400</v>
      </c>
      <c r="AK2" s="301"/>
      <c r="AL2" s="346">
        <v>2200</v>
      </c>
      <c r="AM2" s="301"/>
      <c r="AN2" s="346">
        <v>2000</v>
      </c>
      <c r="AO2" s="301"/>
      <c r="AQ2" s="345" t="s">
        <v>145</v>
      </c>
      <c r="AR2" s="313"/>
      <c r="AS2" s="345" t="s">
        <v>146</v>
      </c>
      <c r="AT2" s="313"/>
      <c r="AU2" s="345" t="s">
        <v>147</v>
      </c>
      <c r="AV2" s="313"/>
      <c r="AW2" s="345" t="s">
        <v>148</v>
      </c>
      <c r="AX2" s="313"/>
    </row>
    <row r="3" spans="1:50" x14ac:dyDescent="0.2">
      <c r="A3" s="48">
        <v>-60</v>
      </c>
      <c r="B3">
        <v>23535.34</v>
      </c>
      <c r="C3" s="45">
        <v>19961.775000000001</v>
      </c>
      <c r="E3">
        <f>A4</f>
        <v>-40</v>
      </c>
      <c r="F3" s="74" t="s">
        <v>95</v>
      </c>
      <c r="I3" s="71">
        <f>(LEFT(F3,10)*$H$1)-7385.66857013</f>
        <v>-7385.6685701300003</v>
      </c>
      <c r="J3" t="str">
        <f>IF(AND($F$1&gt;E2,$F$1&lt;E3),(((I3-I2)/(E3-E2))*($F$1-E2))+I2,IF($F$1=E3,I3,""))</f>
        <v/>
      </c>
      <c r="L3">
        <v>-40</v>
      </c>
      <c r="M3">
        <v>4961.7640000000001</v>
      </c>
      <c r="N3">
        <f t="shared" ref="N3:N8" si="0">AVERAGE($M$2:$M$8)</f>
        <v>5011.6669714285717</v>
      </c>
      <c r="O3">
        <v>-978.40935999999999</v>
      </c>
      <c r="R3" s="31" t="s">
        <v>311</v>
      </c>
      <c r="S3" s="30" t="s">
        <v>119</v>
      </c>
      <c r="T3" s="30" t="s">
        <v>150</v>
      </c>
      <c r="U3" s="30" t="s">
        <v>151</v>
      </c>
      <c r="V3" s="30" t="s">
        <v>108</v>
      </c>
      <c r="W3" s="30"/>
      <c r="X3" s="30"/>
      <c r="Z3" s="59" t="s">
        <v>91</v>
      </c>
      <c r="AA3" s="54" t="s">
        <v>121</v>
      </c>
      <c r="AB3" s="59" t="s">
        <v>91</v>
      </c>
      <c r="AC3" s="54" t="s">
        <v>121</v>
      </c>
      <c r="AD3" s="59" t="s">
        <v>91</v>
      </c>
      <c r="AE3" s="54" t="s">
        <v>121</v>
      </c>
      <c r="AF3" s="59" t="s">
        <v>91</v>
      </c>
      <c r="AG3" s="54" t="s">
        <v>121</v>
      </c>
      <c r="AH3" s="59" t="s">
        <v>91</v>
      </c>
      <c r="AI3" s="54" t="s">
        <v>121</v>
      </c>
      <c r="AJ3" s="59" t="s">
        <v>91</v>
      </c>
      <c r="AK3" s="54" t="s">
        <v>121</v>
      </c>
      <c r="AL3" s="59" t="s">
        <v>91</v>
      </c>
      <c r="AM3" s="54" t="s">
        <v>121</v>
      </c>
      <c r="AN3" s="59" t="s">
        <v>91</v>
      </c>
      <c r="AO3" s="54" t="s">
        <v>121</v>
      </c>
      <c r="AQ3" s="31" t="s">
        <v>143</v>
      </c>
      <c r="AR3" s="31" t="s">
        <v>144</v>
      </c>
      <c r="AS3" s="31" t="s">
        <v>143</v>
      </c>
      <c r="AT3" s="31" t="s">
        <v>144</v>
      </c>
      <c r="AU3" s="31" t="s">
        <v>143</v>
      </c>
      <c r="AV3" s="31" t="s">
        <v>144</v>
      </c>
      <c r="AW3" s="31" t="s">
        <v>143</v>
      </c>
      <c r="AX3" s="31" t="s">
        <v>144</v>
      </c>
    </row>
    <row r="4" spans="1:50" x14ac:dyDescent="0.2">
      <c r="A4" s="48">
        <v>-40</v>
      </c>
      <c r="B4">
        <v>1873.2831000000001</v>
      </c>
      <c r="C4" s="45">
        <v>-4994.9097000000002</v>
      </c>
      <c r="E4">
        <f>A6</f>
        <v>-20</v>
      </c>
      <c r="F4" s="71" t="s">
        <v>96</v>
      </c>
      <c r="I4" s="71">
        <f>(LEFT(F4,10)*$H$1)-4488.76970943</f>
        <v>-4488.7697094300001</v>
      </c>
      <c r="J4" t="str">
        <f t="shared" ref="J4:J8" si="1">IF(AND($F$1&gt;E3,$F$1&lt;E4),(((I4-I3)/(E4-E3))*($F$1-E3))+I3,IF($F$1=E4,I4,""))</f>
        <v/>
      </c>
      <c r="L4">
        <v>-20</v>
      </c>
      <c r="M4">
        <v>4988.6777000000002</v>
      </c>
      <c r="N4">
        <f t="shared" si="0"/>
        <v>5011.6669714285717</v>
      </c>
      <c r="O4">
        <v>1637.1239</v>
      </c>
      <c r="R4" s="31">
        <v>-40</v>
      </c>
      <c r="S4" s="30" t="s">
        <v>113</v>
      </c>
      <c r="T4" s="28" t="s">
        <v>125</v>
      </c>
      <c r="U4" s="28" t="s">
        <v>126</v>
      </c>
      <c r="V4" s="28" t="s">
        <v>127</v>
      </c>
      <c r="W4" s="30">
        <f>(T4*('W &amp; B'!$I$7^$T$3))+(PA_DA_HIGE_HOGE!U4*('W &amp; B'!$I$7^PA_DA_HIGE_HOGE!$U$3))+PA_DA_HIGE_HOGE!V4</f>
        <v>-7355.0955511700004</v>
      </c>
      <c r="X4" s="31" t="str">
        <f>IF(TEMP=R4,W4,"")</f>
        <v/>
      </c>
      <c r="Y4" s="31"/>
      <c r="Z4" s="48">
        <v>-4942.9004000000004</v>
      </c>
      <c r="AA4" s="45">
        <v>96.280190000000005</v>
      </c>
      <c r="AB4" s="48">
        <v>-4958.6899999999996</v>
      </c>
      <c r="AC4" s="45">
        <v>90.418580000000006</v>
      </c>
      <c r="AD4" s="48">
        <v>-4943.7266</v>
      </c>
      <c r="AE4" s="45">
        <v>83.397909999999996</v>
      </c>
      <c r="AF4" s="48">
        <v>-4929.6806999999999</v>
      </c>
      <c r="AG4" s="45">
        <v>76.036450000000002</v>
      </c>
      <c r="AH4" s="48">
        <v>-4981.5483000000004</v>
      </c>
      <c r="AI4" s="45">
        <v>69.357315</v>
      </c>
      <c r="AJ4" s="48">
        <v>-4962.7290000000003</v>
      </c>
      <c r="AK4" s="45">
        <v>63.767966999999999</v>
      </c>
      <c r="AL4" s="48">
        <v>-4977.4170000000004</v>
      </c>
      <c r="AM4" s="45">
        <v>58.315308000000002</v>
      </c>
      <c r="AN4" s="48">
        <v>-4961.1684999999998</v>
      </c>
      <c r="AO4" s="45">
        <v>51.771743999999998</v>
      </c>
      <c r="AQ4">
        <v>140.10007999999999</v>
      </c>
      <c r="AR4">
        <v>106.2938</v>
      </c>
      <c r="AS4">
        <v>140.04347000000001</v>
      </c>
      <c r="AT4">
        <v>111.94748</v>
      </c>
      <c r="AU4">
        <v>135.44630000000001</v>
      </c>
      <c r="AV4">
        <v>119.78904</v>
      </c>
      <c r="AW4">
        <v>130.54327000000001</v>
      </c>
      <c r="AX4">
        <v>119.73259</v>
      </c>
    </row>
    <row r="5" spans="1:50" x14ac:dyDescent="0.2">
      <c r="A5" s="48">
        <v>-40</v>
      </c>
      <c r="B5">
        <v>21423.638999999999</v>
      </c>
      <c r="C5" s="45">
        <v>19956.037</v>
      </c>
      <c r="E5">
        <f>A8</f>
        <v>0</v>
      </c>
      <c r="F5" s="71" t="s">
        <v>97</v>
      </c>
      <c r="I5" s="71">
        <f>(LEFT(F5,10)*$H$1)-1701.67812092</f>
        <v>-1701.6781209200001</v>
      </c>
      <c r="J5">
        <f t="shared" si="1"/>
        <v>-1701.6781209200001</v>
      </c>
      <c r="L5">
        <v>0</v>
      </c>
      <c r="M5">
        <v>5015.3130000000001</v>
      </c>
      <c r="N5">
        <f t="shared" si="0"/>
        <v>5011.6669714285717</v>
      </c>
      <c r="O5">
        <v>4354.5576000000001</v>
      </c>
      <c r="R5" s="31">
        <v>-20</v>
      </c>
      <c r="S5" s="30" t="s">
        <v>114</v>
      </c>
      <c r="T5" s="28" t="s">
        <v>128</v>
      </c>
      <c r="U5" s="28" t="s">
        <v>129</v>
      </c>
      <c r="V5" s="28" t="s">
        <v>130</v>
      </c>
      <c r="W5" s="30">
        <f>(T5*('W &amp; B'!$I$7^$T$3))+(PA_DA_HIGE_HOGE!U5*('W &amp; B'!$I$7^PA_DA_HIGE_HOGE!$U$3))+PA_DA_HIGE_HOGE!V5</f>
        <v>-4529.6277913699996</v>
      </c>
      <c r="X5" s="31" t="str">
        <f>IF(AND(TEMP&lt;$R5,TEMP&gt;$R4),(($W5-$W4)/($R5-$R4))*(TEMP-$R4)+$W4,IF(TEMP=$R5,$R5,""))</f>
        <v/>
      </c>
      <c r="Z5" s="48">
        <v>-2465.8503000000001</v>
      </c>
      <c r="AA5" s="45">
        <v>97.820859999999996</v>
      </c>
      <c r="AB5" s="48">
        <v>-2481.4562999999998</v>
      </c>
      <c r="AC5" s="45">
        <v>92.027410000000003</v>
      </c>
      <c r="AD5" s="48">
        <v>-2467.7779999999998</v>
      </c>
      <c r="AE5" s="45">
        <v>84.529629999999997</v>
      </c>
      <c r="AF5" s="48">
        <v>-2487.7905000000001</v>
      </c>
      <c r="AG5" s="45">
        <v>77.100390000000004</v>
      </c>
      <c r="AH5" s="48">
        <v>-2507.2521999999999</v>
      </c>
      <c r="AI5" s="45">
        <v>69.875609999999995</v>
      </c>
      <c r="AJ5" s="48">
        <v>-2557.0999000000002</v>
      </c>
      <c r="AK5" s="45">
        <v>63.946213</v>
      </c>
      <c r="AL5" s="48">
        <v>-2504.7737000000002</v>
      </c>
      <c r="AM5" s="45">
        <v>58.220179999999999</v>
      </c>
      <c r="AN5" s="48">
        <v>-2489.2593000000002</v>
      </c>
      <c r="AO5" s="45">
        <v>51.403987999999998</v>
      </c>
      <c r="AQ5">
        <v>52.469099999999997</v>
      </c>
      <c r="AR5">
        <v>43.242092</v>
      </c>
      <c r="AS5">
        <v>52.481389999999998</v>
      </c>
      <c r="AT5">
        <v>45.487923000000002</v>
      </c>
      <c r="AU5">
        <v>52.510204000000002</v>
      </c>
      <c r="AV5">
        <v>50.754016999999997</v>
      </c>
      <c r="AW5">
        <v>51.462612</v>
      </c>
      <c r="AX5">
        <v>51.300609999999999</v>
      </c>
    </row>
    <row r="6" spans="1:50" x14ac:dyDescent="0.2">
      <c r="A6" s="48">
        <v>-20</v>
      </c>
      <c r="B6">
        <v>-1.3920855999999999</v>
      </c>
      <c r="C6" s="45">
        <v>-4490.4984999999997</v>
      </c>
      <c r="E6">
        <f>A10</f>
        <v>20</v>
      </c>
      <c r="F6" s="71" t="s">
        <v>98</v>
      </c>
      <c r="I6" s="71">
        <f>(LEFT(F6,10)*$H$1)+642.18024404</f>
        <v>642.18024404000005</v>
      </c>
      <c r="J6" t="str">
        <f t="shared" si="1"/>
        <v/>
      </c>
      <c r="L6">
        <v>20</v>
      </c>
      <c r="M6">
        <v>5008.7236000000003</v>
      </c>
      <c r="N6">
        <f t="shared" si="0"/>
        <v>5011.6669714285717</v>
      </c>
      <c r="O6">
        <v>6766.1977999999999</v>
      </c>
      <c r="R6" s="31">
        <v>0</v>
      </c>
      <c r="S6" s="30" t="s">
        <v>115</v>
      </c>
      <c r="T6" s="28" t="s">
        <v>131</v>
      </c>
      <c r="U6" s="28" t="s">
        <v>132</v>
      </c>
      <c r="V6" s="28" t="s">
        <v>133</v>
      </c>
      <c r="W6" s="30">
        <f>(T6*('W &amp; B'!$I$7^$T$3))+(PA_DA_HIGE_HOGE!U6*('W &amp; B'!$I$7^PA_DA_HIGE_HOGE!$U$3))+PA_DA_HIGE_HOGE!V6</f>
        <v>-1661.05765589</v>
      </c>
      <c r="X6" s="31">
        <f>IF(AND(TEMP&lt;$R6,TEMP&gt;$R5),(($W6-$W5)/($R6-$R5))*(TEMP-$R5)+$W5,IF(TEMP=$R6,$R6,""))</f>
        <v>0</v>
      </c>
      <c r="Z6" s="48">
        <v>47.460799999999999</v>
      </c>
      <c r="AA6" s="45">
        <v>100.24722</v>
      </c>
      <c r="AB6" s="48">
        <v>64.994675000000001</v>
      </c>
      <c r="AC6" s="45">
        <v>94.180769999999995</v>
      </c>
      <c r="AD6" s="48">
        <v>43.696987</v>
      </c>
      <c r="AE6" s="45">
        <v>86.274413999999993</v>
      </c>
      <c r="AF6" s="48">
        <v>23.317298999999998</v>
      </c>
      <c r="AG6" s="45">
        <v>78.708849999999998</v>
      </c>
      <c r="AH6" s="48">
        <v>2.7540116000000001</v>
      </c>
      <c r="AI6" s="45">
        <v>71.075119999999998</v>
      </c>
      <c r="AJ6" s="48">
        <v>-14.504460999999999</v>
      </c>
      <c r="AK6" s="45">
        <v>64.668239999999997</v>
      </c>
      <c r="AL6" s="48">
        <v>-31.212132</v>
      </c>
      <c r="AM6" s="45">
        <v>58.465846999999997</v>
      </c>
      <c r="AN6" s="48">
        <v>-16.615870000000001</v>
      </c>
      <c r="AO6" s="45">
        <v>51.308860000000003</v>
      </c>
    </row>
    <row r="7" spans="1:50" x14ac:dyDescent="0.2">
      <c r="A7" s="48">
        <v>-20</v>
      </c>
      <c r="B7">
        <v>19652.629000000001</v>
      </c>
      <c r="C7" s="45">
        <v>19917.258000000002</v>
      </c>
      <c r="E7">
        <f>A12</f>
        <v>40</v>
      </c>
      <c r="F7" s="71" t="s">
        <v>99</v>
      </c>
      <c r="I7" s="71">
        <f>(LEFT(F7,10)*$H$1)+2995.70455166</f>
        <v>2995.7045516600001</v>
      </c>
      <c r="J7" t="str">
        <f t="shared" si="1"/>
        <v/>
      </c>
      <c r="L7">
        <v>40</v>
      </c>
      <c r="M7">
        <v>5070.8104999999996</v>
      </c>
      <c r="N7">
        <f t="shared" si="0"/>
        <v>5011.6669714285717</v>
      </c>
      <c r="O7">
        <v>8974.223</v>
      </c>
      <c r="R7" s="31">
        <v>20</v>
      </c>
      <c r="S7" s="30" t="s">
        <v>117</v>
      </c>
      <c r="T7" s="28" t="s">
        <v>134</v>
      </c>
      <c r="U7" s="28" t="s">
        <v>135</v>
      </c>
      <c r="V7" s="28" t="s">
        <v>136</v>
      </c>
      <c r="W7" s="30">
        <f>(T7*('W &amp; B'!$I$7^$T$3))+(PA_DA_HIGE_HOGE!U7*('W &amp; B'!$I$7^PA_DA_HIGE_HOGE!$U$3))+PA_DA_HIGE_HOGE!V7</f>
        <v>714.25790773999995</v>
      </c>
      <c r="X7" s="31" t="str">
        <f>IF(AND(TEMP&lt;$R7,TEMP&gt;$R6),(($W7-$W6)/($R7-$R6))*(TEMP-$R6)+$W6,IF(TEMP=$R7,$R7,""))</f>
        <v/>
      </c>
      <c r="Z7" s="48">
        <v>2527.6318000000001</v>
      </c>
      <c r="AA7" s="45">
        <v>102.94659</v>
      </c>
      <c r="AB7" s="48">
        <v>2578.4893000000002</v>
      </c>
      <c r="AC7" s="45">
        <v>96.675285000000002</v>
      </c>
      <c r="AD7" s="48">
        <v>2556.4573</v>
      </c>
      <c r="AE7" s="45">
        <v>88.496300000000005</v>
      </c>
      <c r="AF7" s="48">
        <v>2535.5268999999998</v>
      </c>
      <c r="AG7" s="45">
        <v>80.726259999999996</v>
      </c>
      <c r="AH7" s="48">
        <v>2514.0454</v>
      </c>
      <c r="AI7" s="45">
        <v>72.751739999999998</v>
      </c>
      <c r="AJ7" s="48">
        <v>2494.951</v>
      </c>
      <c r="AK7" s="45">
        <v>65.663284000000004</v>
      </c>
      <c r="AL7" s="48">
        <v>2511.0160000000001</v>
      </c>
      <c r="AM7" s="45">
        <v>59.051563000000002</v>
      </c>
      <c r="AN7" s="48">
        <v>2491.1873000000001</v>
      </c>
      <c r="AO7" s="45">
        <v>51.690469999999998</v>
      </c>
    </row>
    <row r="8" spans="1:50" ht="13.5" thickBot="1" x14ac:dyDescent="0.25">
      <c r="A8" s="48">
        <v>0</v>
      </c>
      <c r="B8">
        <v>24.964732999999999</v>
      </c>
      <c r="C8" s="45">
        <v>-1671.1647</v>
      </c>
      <c r="E8">
        <f>A14</f>
        <v>60</v>
      </c>
      <c r="F8" s="72" t="s">
        <v>100</v>
      </c>
      <c r="I8" s="72">
        <f>(LEFT(F8,10)*$H$1)+4932.92786475</f>
        <v>4932.9278647499996</v>
      </c>
      <c r="J8" t="str">
        <f t="shared" si="1"/>
        <v/>
      </c>
      <c r="L8">
        <v>60</v>
      </c>
      <c r="M8">
        <v>5065.6139999999996</v>
      </c>
      <c r="N8">
        <f t="shared" si="0"/>
        <v>5011.6669714285717</v>
      </c>
      <c r="O8">
        <v>10876.361000000001</v>
      </c>
      <c r="R8" s="31">
        <v>40</v>
      </c>
      <c r="S8" s="30" t="s">
        <v>116</v>
      </c>
      <c r="T8" s="28" t="s">
        <v>137</v>
      </c>
      <c r="U8" s="28" t="s">
        <v>138</v>
      </c>
      <c r="V8" s="28" t="s">
        <v>139</v>
      </c>
      <c r="W8" s="30">
        <f>(T8*('W &amp; B'!$I$7^$T$3))+(PA_DA_HIGE_HOGE!U8*('W &amp; B'!$I$7^PA_DA_HIGE_HOGE!$U$3))+PA_DA_HIGE_HOGE!V8</f>
        <v>3053.7098126599999</v>
      </c>
      <c r="X8" s="31" t="str">
        <f>IF(AND(TEMP&lt;$R8,TEMP&gt;$R7),(($W8-$W7)/($R8-$R7))*(TEMP-$R7)+$W7,IF(TEMP=$R8,$R8,""))</f>
        <v/>
      </c>
      <c r="Z8" s="48">
        <v>5042.7790000000005</v>
      </c>
      <c r="AA8" s="45">
        <v>106.05453</v>
      </c>
      <c r="AB8" s="48">
        <v>4990.7280000000001</v>
      </c>
      <c r="AC8" s="45">
        <v>99.307230000000004</v>
      </c>
      <c r="AD8" s="48">
        <v>5035.8940000000002</v>
      </c>
      <c r="AE8" s="45">
        <v>90.923029999999997</v>
      </c>
      <c r="AF8" s="48">
        <v>5048.1035000000002</v>
      </c>
      <c r="AG8" s="45">
        <v>82.879980000000003</v>
      </c>
      <c r="AH8" s="48">
        <v>5025.3370000000004</v>
      </c>
      <c r="AI8" s="45">
        <v>74.428359999999998</v>
      </c>
      <c r="AJ8" s="48">
        <v>5039.5659999999998</v>
      </c>
      <c r="AK8" s="45">
        <v>67.135056000000006</v>
      </c>
      <c r="AL8" s="48">
        <v>4986.5969999999998</v>
      </c>
      <c r="AM8" s="45">
        <v>60.046970000000002</v>
      </c>
      <c r="AN8" s="48">
        <v>4965.6665000000003</v>
      </c>
      <c r="AO8" s="45">
        <v>52.276927999999998</v>
      </c>
    </row>
    <row r="9" spans="1:50" x14ac:dyDescent="0.2">
      <c r="A9" s="48">
        <v>0</v>
      </c>
      <c r="B9">
        <v>17711.133000000002</v>
      </c>
      <c r="C9" s="45">
        <v>19945.95</v>
      </c>
      <c r="R9" s="31">
        <v>60</v>
      </c>
      <c r="S9" s="30" t="s">
        <v>118</v>
      </c>
      <c r="T9" s="28" t="s">
        <v>140</v>
      </c>
      <c r="U9" s="28" t="s">
        <v>141</v>
      </c>
      <c r="V9" s="28" t="s">
        <v>142</v>
      </c>
      <c r="W9" s="30">
        <f>(T9*('W &amp; B'!$I$7^$T$3))+(PA_DA_HIGE_HOGE!U9*('W &amp; B'!$I$7^PA_DA_HIGE_HOGE!$U$3))+PA_DA_HIGE_HOGE!V9</f>
        <v>4978.1458880500004</v>
      </c>
      <c r="X9" s="31" t="str">
        <f>IF(AND(TEMP&lt;$R9,TEMP&gt;$R8),(($W9-$W8)/($R9-$R8))*(TEMP-$R8)+$W8,IF(TEMP=$R9,$R9,""))</f>
        <v/>
      </c>
      <c r="Z9" s="48">
        <v>7456.8540000000003</v>
      </c>
      <c r="AA9" s="45">
        <v>109.36805</v>
      </c>
      <c r="AB9" s="48">
        <v>7505.5079999999998</v>
      </c>
      <c r="AC9" s="45">
        <v>102.278854</v>
      </c>
      <c r="AD9" s="48">
        <v>7481.64</v>
      </c>
      <c r="AE9" s="45">
        <v>93.418279999999996</v>
      </c>
      <c r="AF9" s="48">
        <v>7493.2983000000004</v>
      </c>
      <c r="AG9" s="45">
        <v>85.170770000000005</v>
      </c>
      <c r="AH9" s="48">
        <v>7503.8554999999997</v>
      </c>
      <c r="AI9" s="45">
        <v>76.514300000000006</v>
      </c>
      <c r="AJ9" s="48">
        <v>7516.7992999999997</v>
      </c>
      <c r="AK9" s="45">
        <v>68.743889999999993</v>
      </c>
      <c r="AL9" s="48">
        <v>7496.6035000000002</v>
      </c>
      <c r="AM9" s="45">
        <v>61.246479999999998</v>
      </c>
      <c r="AN9" s="48">
        <v>7475.6729999999998</v>
      </c>
      <c r="AO9" s="45">
        <v>53.476439999999997</v>
      </c>
    </row>
    <row r="10" spans="1:50" x14ac:dyDescent="0.2">
      <c r="A10" s="48">
        <v>20</v>
      </c>
      <c r="B10">
        <v>52.528027000000002</v>
      </c>
      <c r="C10" s="45">
        <v>706.60119999999995</v>
      </c>
      <c r="E10" s="31" t="s">
        <v>124</v>
      </c>
      <c r="F10">
        <f>MAX(J3:J8)</f>
        <v>-1701.6781209200001</v>
      </c>
      <c r="L10">
        <v>-40</v>
      </c>
      <c r="M10">
        <v>4011.6194</v>
      </c>
      <c r="N10">
        <f>AVERAGE($M$10:$M$15)</f>
        <v>4017.1102999999998</v>
      </c>
      <c r="O10">
        <v>-2271.7377999999999</v>
      </c>
      <c r="R10" s="28"/>
      <c r="S10" s="28"/>
      <c r="T10" s="28"/>
      <c r="U10" s="28"/>
      <c r="V10" s="28"/>
      <c r="W10" s="28"/>
      <c r="X10" s="28"/>
      <c r="Z10" s="48">
        <v>9940.33</v>
      </c>
      <c r="AA10" s="45">
        <v>113.29426599999999</v>
      </c>
      <c r="AB10" s="48">
        <v>9987.1470000000008</v>
      </c>
      <c r="AC10" s="45">
        <v>105.52348000000001</v>
      </c>
      <c r="AD10" s="48">
        <v>9996.42</v>
      </c>
      <c r="AE10" s="45">
        <v>96.38991</v>
      </c>
      <c r="AF10" s="48">
        <v>9972.9189999999999</v>
      </c>
      <c r="AG10" s="45">
        <v>87.665649999999999</v>
      </c>
      <c r="AH10" s="48">
        <v>9982.9249999999993</v>
      </c>
      <c r="AI10" s="45">
        <v>78.80471</v>
      </c>
      <c r="AJ10" s="48">
        <v>9961.4429999999993</v>
      </c>
      <c r="AK10" s="45">
        <v>70.830190000000002</v>
      </c>
      <c r="AL10" s="48">
        <v>9973.6530000000002</v>
      </c>
      <c r="AM10" s="45">
        <v>62.787149999999997</v>
      </c>
      <c r="AN10" s="48">
        <v>9952.5390000000007</v>
      </c>
      <c r="AO10" s="45">
        <v>54.948956000000003</v>
      </c>
    </row>
    <row r="11" spans="1:50" x14ac:dyDescent="0.2">
      <c r="A11" s="48">
        <v>20</v>
      </c>
      <c r="B11">
        <v>15735.671</v>
      </c>
      <c r="C11" s="45">
        <v>19940.581999999999</v>
      </c>
      <c r="L11">
        <v>-20</v>
      </c>
      <c r="M11">
        <v>4004.3804</v>
      </c>
      <c r="N11">
        <f t="shared" ref="N11:N15" si="2">AVERAGE($M$10:$M$15)</f>
        <v>4017.1102999999998</v>
      </c>
      <c r="O11">
        <v>377.66968000000003</v>
      </c>
      <c r="S11" s="30" t="s">
        <v>120</v>
      </c>
      <c r="T11" s="30"/>
      <c r="U11" s="30"/>
      <c r="V11" s="30"/>
      <c r="W11" s="30"/>
      <c r="X11" s="30"/>
      <c r="Z11" s="48">
        <v>12462.270500000001</v>
      </c>
      <c r="AA11" s="45">
        <v>118.92406</v>
      </c>
      <c r="AB11" s="48">
        <v>12437.668</v>
      </c>
      <c r="AC11" s="45">
        <v>109.79085499999999</v>
      </c>
      <c r="AD11" s="48">
        <v>12512.668</v>
      </c>
      <c r="AE11" s="45">
        <v>99.906800000000004</v>
      </c>
      <c r="AF11" s="48">
        <v>12487.332</v>
      </c>
      <c r="AG11" s="45">
        <v>90.500960000000006</v>
      </c>
      <c r="AH11" s="48">
        <v>12496.236000000001</v>
      </c>
      <c r="AI11" s="45">
        <v>81.231070000000003</v>
      </c>
      <c r="AJ11" s="48">
        <v>12507.527</v>
      </c>
      <c r="AK11" s="45">
        <v>72.847239999999999</v>
      </c>
      <c r="AL11" s="48">
        <v>12485.312</v>
      </c>
      <c r="AM11" s="45">
        <v>64.600089999999994</v>
      </c>
      <c r="AN11" s="48">
        <v>12497.888999999999</v>
      </c>
      <c r="AO11" s="45">
        <v>56.693362999999998</v>
      </c>
    </row>
    <row r="12" spans="1:50" ht="13.5" thickBot="1" x14ac:dyDescent="0.25">
      <c r="A12" s="48">
        <v>40</v>
      </c>
      <c r="B12">
        <v>46.124434999999998</v>
      </c>
      <c r="C12" s="45">
        <v>3050.3078999999998</v>
      </c>
      <c r="L12">
        <v>0</v>
      </c>
      <c r="M12">
        <v>3996.9560000000001</v>
      </c>
      <c r="N12">
        <f t="shared" si="2"/>
        <v>4017.1102999999998</v>
      </c>
      <c r="O12">
        <v>3095.0106999999998</v>
      </c>
      <c r="R12" s="30" t="s">
        <v>106</v>
      </c>
      <c r="S12" s="28"/>
      <c r="T12" s="28"/>
      <c r="U12" s="28"/>
      <c r="V12" s="28"/>
      <c r="W12" s="28"/>
      <c r="X12" s="28"/>
      <c r="Z12" s="49">
        <v>12871.884</v>
      </c>
      <c r="AA12" s="51">
        <v>120.078316</v>
      </c>
      <c r="AB12" s="48">
        <v>14995.502</v>
      </c>
      <c r="AC12" s="45">
        <v>116.17001999999999</v>
      </c>
      <c r="AD12" s="48">
        <v>14964.106</v>
      </c>
      <c r="AE12" s="45">
        <v>104.51496</v>
      </c>
      <c r="AF12" s="48">
        <v>14968.604499999999</v>
      </c>
      <c r="AG12" s="45">
        <v>93.609275999999994</v>
      </c>
      <c r="AH12" s="48">
        <v>14976.224</v>
      </c>
      <c r="AI12" s="45">
        <v>83.862273999999999</v>
      </c>
      <c r="AJ12" s="48">
        <v>14986.597</v>
      </c>
      <c r="AK12" s="45">
        <v>75.137649999999994</v>
      </c>
      <c r="AL12" s="48">
        <v>14963.097</v>
      </c>
      <c r="AM12" s="45">
        <v>66.413390000000007</v>
      </c>
      <c r="AN12" s="48">
        <v>14975.306</v>
      </c>
      <c r="AO12" s="45">
        <v>58.370350000000002</v>
      </c>
    </row>
    <row r="13" spans="1:50" ht="13.5" thickBot="1" x14ac:dyDescent="0.25">
      <c r="A13" s="48">
        <v>40</v>
      </c>
      <c r="B13">
        <v>14339.130999999999</v>
      </c>
      <c r="C13" s="45">
        <v>19970.754000000001</v>
      </c>
      <c r="L13">
        <v>20</v>
      </c>
      <c r="M13">
        <v>4024.241</v>
      </c>
      <c r="N13">
        <f t="shared" si="2"/>
        <v>4017.1102999999998</v>
      </c>
      <c r="O13">
        <v>5574.6769999999997</v>
      </c>
      <c r="R13" s="30" t="s">
        <v>107</v>
      </c>
      <c r="S13" s="28"/>
      <c r="T13" s="28"/>
      <c r="U13" s="28"/>
      <c r="V13" s="28"/>
      <c r="W13" s="28"/>
      <c r="X13" s="28"/>
      <c r="AB13" s="49">
        <v>16157.511</v>
      </c>
      <c r="AC13" s="51">
        <v>119.97432999999999</v>
      </c>
      <c r="AD13" s="48">
        <v>17452.723000000002</v>
      </c>
      <c r="AE13" s="45">
        <v>110.3496</v>
      </c>
      <c r="AF13" s="48">
        <v>17453.548999999999</v>
      </c>
      <c r="AG13" s="45">
        <v>98.080749999999995</v>
      </c>
      <c r="AH13" s="48">
        <v>17425.643</v>
      </c>
      <c r="AI13" s="45">
        <v>87.720695000000006</v>
      </c>
      <c r="AJ13" s="48">
        <v>17500.275000000001</v>
      </c>
      <c r="AK13" s="45">
        <v>77.700325000000007</v>
      </c>
      <c r="AL13" s="48">
        <v>17475.490000000002</v>
      </c>
      <c r="AM13" s="45">
        <v>68.498959999999997</v>
      </c>
      <c r="AN13" s="48">
        <v>17487.331999999999</v>
      </c>
      <c r="AO13" s="45">
        <v>60.319603000000001</v>
      </c>
    </row>
    <row r="14" spans="1:50" ht="13.5" thickBot="1" x14ac:dyDescent="0.25">
      <c r="A14" s="48">
        <v>60</v>
      </c>
      <c r="B14">
        <v>74.801400000000001</v>
      </c>
      <c r="C14" s="45">
        <v>5020.4727000000003</v>
      </c>
      <c r="L14">
        <v>40</v>
      </c>
      <c r="M14">
        <v>4018.3939999999998</v>
      </c>
      <c r="N14">
        <f t="shared" si="2"/>
        <v>4017.1102999999998</v>
      </c>
      <c r="O14">
        <v>7714.5829999999996</v>
      </c>
      <c r="R14" s="30" t="s">
        <v>109</v>
      </c>
      <c r="S14" s="28"/>
      <c r="T14" s="28"/>
      <c r="U14" s="28"/>
      <c r="V14" s="28"/>
      <c r="W14" s="28"/>
      <c r="X14" s="28"/>
      <c r="AD14" s="49">
        <v>20012.208999999999</v>
      </c>
      <c r="AE14" s="51">
        <v>117.34220000000001</v>
      </c>
      <c r="AF14" s="49">
        <v>19976.775000000001</v>
      </c>
      <c r="AG14" s="51">
        <v>104.18765</v>
      </c>
      <c r="AH14" s="49">
        <v>20013.493999999999</v>
      </c>
      <c r="AI14" s="51">
        <v>92.668175000000005</v>
      </c>
      <c r="AJ14" s="49">
        <v>20014.136999999999</v>
      </c>
      <c r="AK14" s="51">
        <v>80.331159999999997</v>
      </c>
      <c r="AL14" s="49">
        <v>20056.365000000002</v>
      </c>
      <c r="AM14" s="51">
        <v>70.85642</v>
      </c>
      <c r="AN14" s="49">
        <v>20033.782999999999</v>
      </c>
      <c r="AO14" s="51">
        <v>62.47296</v>
      </c>
    </row>
    <row r="15" spans="1:50" ht="13.5" thickBot="1" x14ac:dyDescent="0.25">
      <c r="A15" s="49">
        <v>60</v>
      </c>
      <c r="B15" s="50">
        <v>12874.471</v>
      </c>
      <c r="C15" s="51">
        <v>20000.740000000002</v>
      </c>
      <c r="L15">
        <v>60</v>
      </c>
      <c r="M15">
        <v>4047.0709999999999</v>
      </c>
      <c r="N15">
        <f t="shared" si="2"/>
        <v>4017.1102999999998</v>
      </c>
      <c r="O15">
        <v>9684.7479999999996</v>
      </c>
      <c r="R15" s="30" t="s">
        <v>110</v>
      </c>
      <c r="S15" s="28"/>
      <c r="T15" s="28"/>
      <c r="U15" s="28"/>
      <c r="V15" s="28"/>
      <c r="W15" s="28"/>
      <c r="X15" s="28"/>
    </row>
    <row r="16" spans="1:50" x14ac:dyDescent="0.2">
      <c r="R16" s="30" t="s">
        <v>111</v>
      </c>
      <c r="S16" s="28"/>
      <c r="T16" s="28"/>
      <c r="U16" s="28"/>
      <c r="V16" s="28"/>
      <c r="W16" s="28"/>
      <c r="X16" s="28"/>
    </row>
    <row r="17" spans="1:48" x14ac:dyDescent="0.2">
      <c r="A17" t="s">
        <v>101</v>
      </c>
      <c r="B17" t="s">
        <v>102</v>
      </c>
      <c r="C17" t="s">
        <v>103</v>
      </c>
      <c r="L17">
        <v>-40</v>
      </c>
      <c r="M17">
        <v>2925.4214000000002</v>
      </c>
      <c r="N17">
        <f>AVERAGE($M$17:$M$22)</f>
        <v>2976.0468666666661</v>
      </c>
      <c r="O17">
        <v>-3633.3699000000001</v>
      </c>
      <c r="R17" s="30" t="s">
        <v>112</v>
      </c>
      <c r="S17" s="28"/>
      <c r="T17" s="28"/>
      <c r="U17" s="28"/>
      <c r="V17" s="28"/>
      <c r="W17" s="28"/>
      <c r="X17" s="28"/>
    </row>
    <row r="18" spans="1:48" x14ac:dyDescent="0.2">
      <c r="L18">
        <v>-20</v>
      </c>
      <c r="M18">
        <v>2952.0565999999999</v>
      </c>
      <c r="N18">
        <f t="shared" ref="N18:N22" si="3">AVERAGE($M$17:$M$22)</f>
        <v>2976.0468666666661</v>
      </c>
      <c r="O18">
        <v>-915.93640000000005</v>
      </c>
    </row>
    <row r="19" spans="1:48" x14ac:dyDescent="0.2">
      <c r="L19">
        <v>0</v>
      </c>
      <c r="M19">
        <v>2978.4133000000002</v>
      </c>
      <c r="N19">
        <f t="shared" si="3"/>
        <v>2976.0468666666661</v>
      </c>
      <c r="O19">
        <v>1903.3975</v>
      </c>
    </row>
    <row r="20" spans="1:48" x14ac:dyDescent="0.2">
      <c r="L20">
        <v>20</v>
      </c>
      <c r="M20">
        <v>2971.9169999999999</v>
      </c>
      <c r="N20">
        <f t="shared" si="3"/>
        <v>2976.0468666666661</v>
      </c>
      <c r="O20">
        <v>4281.0709999999999</v>
      </c>
    </row>
    <row r="21" spans="1:48" x14ac:dyDescent="0.2">
      <c r="L21">
        <v>40</v>
      </c>
      <c r="M21">
        <v>2999.8516</v>
      </c>
      <c r="N21">
        <f t="shared" si="3"/>
        <v>2976.0468666666661</v>
      </c>
      <c r="O21">
        <v>6522.9696999999996</v>
      </c>
      <c r="AO21" s="345" t="s">
        <v>144</v>
      </c>
      <c r="AP21" s="345"/>
      <c r="AQ21" s="345"/>
      <c r="AR21" s="345"/>
      <c r="AS21" s="345"/>
    </row>
    <row r="22" spans="1:48" x14ac:dyDescent="0.2">
      <c r="L22">
        <v>60</v>
      </c>
      <c r="M22">
        <v>3028.6212999999998</v>
      </c>
      <c r="N22">
        <f t="shared" si="3"/>
        <v>2976.0468666666661</v>
      </c>
      <c r="O22">
        <v>8459.1679999999997</v>
      </c>
      <c r="AM22" s="31" t="s">
        <v>77</v>
      </c>
      <c r="AN22" s="31" t="s">
        <v>143</v>
      </c>
      <c r="AO22" s="44">
        <v>2</v>
      </c>
      <c r="AP22" s="44">
        <v>4</v>
      </c>
      <c r="AQ22" s="44">
        <v>5</v>
      </c>
      <c r="AR22" s="44">
        <v>10</v>
      </c>
      <c r="AS22" s="44">
        <v>15</v>
      </c>
      <c r="AT22" s="31" t="s">
        <v>77</v>
      </c>
      <c r="AU22" s="31" t="s">
        <v>143</v>
      </c>
      <c r="AV22" s="31" t="s">
        <v>144</v>
      </c>
    </row>
    <row r="23" spans="1:48" x14ac:dyDescent="0.2">
      <c r="AM23">
        <v>3350</v>
      </c>
      <c r="AN23" s="31">
        <f>1.20878339E-20*x^5+8.36117978E-17*x^4-2.93796514E-12*x^3+0.0000000374353244*x^2+0.00104302*x+100.14656677</f>
        <v>100.14656677000001</v>
      </c>
      <c r="AO23" s="31">
        <f>0.8653*AN23+6.7677</f>
        <v>93.424524226081004</v>
      </c>
      <c r="AP23" s="31">
        <f>0.8324*AN23+7.0451</f>
        <v>90.407102179348016</v>
      </c>
      <c r="AQ23">
        <f t="shared" ref="AQ23" si="4">((AR23-AP23)/($AR$22-$AP$22))*($AQ$22-$AP$22)+AP23</f>
        <v>88.950225845861681</v>
      </c>
      <c r="AR23" s="31">
        <f>0.759*AN23+5.6546</f>
        <v>81.665844178430007</v>
      </c>
      <c r="AS23">
        <f>0.7195*AN23+5.4898</f>
        <v>77.545254791015012</v>
      </c>
      <c r="AT23" t="str">
        <f ca="1">IF(OR(AM23=HGW,HGW&gt;AM23),HGW,"")</f>
        <v/>
      </c>
      <c r="AU23" s="31" t="str">
        <f ca="1">IF(ISNUMBER(AT23),$AN23,"")</f>
        <v/>
      </c>
      <c r="AV23" s="31" t="str">
        <f ca="1">IF(ISNUMBER(AT23),$AQ23,"")</f>
        <v/>
      </c>
    </row>
    <row r="24" spans="1:48" x14ac:dyDescent="0.2">
      <c r="L24">
        <v>-40</v>
      </c>
      <c r="M24">
        <v>2008.9650999999999</v>
      </c>
      <c r="N24">
        <f>AVERAGE($M$24:$M$29)</f>
        <v>2014.1776333333335</v>
      </c>
      <c r="O24">
        <v>-4790.7389999999996</v>
      </c>
      <c r="AM24">
        <v>3200</v>
      </c>
      <c r="AN24" s="31">
        <f>6.26834377E-21*x^5+7.74866306E-17*x^4-2.01781035E-12*x^3+0.0000000270209291*x^2+0.00093698*x+94.13239696</f>
        <v>94.132396959999994</v>
      </c>
      <c r="AO24" s="31">
        <f t="shared" ref="AO24:AO30" si="5">0.8653*AN24+6.7677</f>
        <v>88.220463089487993</v>
      </c>
      <c r="AP24" s="31">
        <f t="shared" ref="AP24:AP30" si="6">0.8324*AN24+7.0451</f>
        <v>85.400907229504</v>
      </c>
      <c r="AQ24">
        <f>((AR24-AP24)/($AR$22-$AP$22))*($AQ$22-$AP$22)+AP24</f>
        <v>84.017604240026671</v>
      </c>
      <c r="AR24" s="31">
        <f t="shared" ref="AR24:AR30" si="7">0.759*AN24+5.6546</f>
        <v>77.101089292639998</v>
      </c>
      <c r="AS24">
        <f t="shared" ref="AS24:AS30" si="8">0.7195*AN24+5.4898</f>
        <v>73.218059612719998</v>
      </c>
      <c r="AT24" t="str">
        <f t="shared" ref="AT24:AT30" ca="1" si="9">IF(AND(HGW&lt;AM23,OR(HGW&gt;AM24,HGW=AM24)),HGW,"")</f>
        <v/>
      </c>
      <c r="AU24" t="str">
        <f t="shared" ref="AU24:AU30" ca="1" si="10">IF(AND(HGW&lt;$AM23,HGW&gt;$AM24),(($AT24-$AM24))/($AM23-$AM24)*($AN23-$AN24)+$AN24,IF($AT24=$AM24,$AN24,""))</f>
        <v/>
      </c>
      <c r="AV24" t="str">
        <f t="shared" ref="AV24:AV30" ca="1" si="11">IF(AND(HGW&lt;$AM23,HGW&gt;$AM24),(($AT24-$AM24))/($AM23-$AM24)*($AQ23-$AQ24)+$AQ24,IF($AT24=$AM24,$AQ24,""))</f>
        <v/>
      </c>
    </row>
    <row r="25" spans="1:48" x14ac:dyDescent="0.2">
      <c r="L25">
        <v>-20</v>
      </c>
      <c r="M25">
        <v>2001.5405000000001</v>
      </c>
      <c r="N25">
        <f t="shared" ref="N25:N29" si="12">AVERAGE($M$24:$M$29)</f>
        <v>2014.1776333333335</v>
      </c>
      <c r="O25">
        <v>-2073.3977</v>
      </c>
      <c r="AM25">
        <v>3000</v>
      </c>
      <c r="AN25" s="31">
        <f>-7.52870615E-21*x^5+3.62612479E-16*x^4-3.69059648E-12*x^3+0.0000000245524339*x^2+0.00084055*x+86.29603448</f>
        <v>86.296034480000003</v>
      </c>
      <c r="AO25" s="31">
        <f t="shared" si="5"/>
        <v>81.439658635544006</v>
      </c>
      <c r="AP25" s="31">
        <f t="shared" si="6"/>
        <v>78.877919101152017</v>
      </c>
      <c r="AQ25">
        <f t="shared" ref="AQ25:AQ30" si="13">((AR25-AP25)/($AR$22-$AP$22))*($AQ$22-$AP$22)+AP25</f>
        <v>77.590480946013344</v>
      </c>
      <c r="AR25" s="31">
        <f t="shared" si="7"/>
        <v>71.153290170320005</v>
      </c>
      <c r="AS25">
        <f t="shared" si="8"/>
        <v>67.579796808360001</v>
      </c>
      <c r="AT25" t="str">
        <f t="shared" ca="1" si="9"/>
        <v/>
      </c>
      <c r="AU25" t="str">
        <f t="shared" ca="1" si="10"/>
        <v/>
      </c>
      <c r="AV25" t="str">
        <f t="shared" ca="1" si="11"/>
        <v/>
      </c>
    </row>
    <row r="26" spans="1:48" x14ac:dyDescent="0.2">
      <c r="L26">
        <v>0</v>
      </c>
      <c r="M26">
        <v>1993.9304999999999</v>
      </c>
      <c r="N26">
        <f t="shared" si="12"/>
        <v>2014.1776333333335</v>
      </c>
      <c r="O26">
        <v>711.87670000000003</v>
      </c>
      <c r="AM26">
        <v>2800</v>
      </c>
      <c r="AN26" s="31">
        <f>3.24055705E-21*x^5+1.18545446E-17*x^4-1.60536208E-12*x^3+0.0000000292165948*x^2+0.00072287*x+78.69815045</f>
        <v>78.69815045</v>
      </c>
      <c r="AO26" s="31">
        <f t="shared" si="5"/>
        <v>74.865209584384999</v>
      </c>
      <c r="AP26" s="31">
        <f t="shared" si="6"/>
        <v>72.553440434580011</v>
      </c>
      <c r="AQ26">
        <f t="shared" si="13"/>
        <v>71.358949727408344</v>
      </c>
      <c r="AR26" s="31">
        <f t="shared" si="7"/>
        <v>65.386496191549995</v>
      </c>
      <c r="AS26">
        <f t="shared" si="8"/>
        <v>62.113119248775007</v>
      </c>
      <c r="AT26" t="str">
        <f t="shared" ca="1" si="9"/>
        <v/>
      </c>
      <c r="AU26" t="str">
        <f t="shared" ca="1" si="10"/>
        <v/>
      </c>
      <c r="AV26" t="str">
        <f t="shared" ca="1" si="11"/>
        <v/>
      </c>
    </row>
    <row r="27" spans="1:48" x14ac:dyDescent="0.2">
      <c r="L27">
        <v>20</v>
      </c>
      <c r="M27">
        <v>2021.3081999999999</v>
      </c>
      <c r="N27">
        <f t="shared" si="12"/>
        <v>2014.1776333333335</v>
      </c>
      <c r="O27">
        <v>3157.5762</v>
      </c>
      <c r="AM27">
        <v>2600</v>
      </c>
      <c r="AN27" s="31">
        <f>1.35840148E-21*x^5+5.2022967E-17*x^4-1.95400998E-12*x^3+0.0000000331613734*x^2+0.00056427*x+71.07028714</f>
        <v>71.070287140000005</v>
      </c>
      <c r="AO27" s="31">
        <f t="shared" si="5"/>
        <v>68.264819462242002</v>
      </c>
      <c r="AP27" s="31">
        <f t="shared" si="6"/>
        <v>66.204007015336003</v>
      </c>
      <c r="AQ27">
        <f t="shared" si="13"/>
        <v>65.102830502656673</v>
      </c>
      <c r="AR27" s="31">
        <f t="shared" si="7"/>
        <v>59.596947939260005</v>
      </c>
      <c r="AS27">
        <f t="shared" si="8"/>
        <v>56.624871597230005</v>
      </c>
      <c r="AT27" t="str">
        <f t="shared" ca="1" si="9"/>
        <v/>
      </c>
      <c r="AU27" t="str">
        <f t="shared" ca="1" si="10"/>
        <v/>
      </c>
      <c r="AV27" t="str">
        <f t="shared" ca="1" si="11"/>
        <v/>
      </c>
    </row>
    <row r="28" spans="1:48" x14ac:dyDescent="0.2">
      <c r="L28">
        <v>40</v>
      </c>
      <c r="M28">
        <v>2049.15</v>
      </c>
      <c r="N28">
        <f t="shared" si="12"/>
        <v>2014.1776333333335</v>
      </c>
      <c r="O28">
        <v>5433.442</v>
      </c>
      <c r="AM28">
        <v>2400</v>
      </c>
      <c r="AN28" s="31">
        <f>6.56060827E-22*x^5-1.41947818E-17*x^4-4.96258331E-13*x^3+0.0000000323100281*x^2+0.00034552*x+64.63271193</f>
        <v>64.632711929999999</v>
      </c>
      <c r="AO28" s="31">
        <f t="shared" si="5"/>
        <v>62.694385633028993</v>
      </c>
      <c r="AP28" s="31">
        <f t="shared" si="6"/>
        <v>60.845369410532001</v>
      </c>
      <c r="AQ28">
        <f t="shared" si="13"/>
        <v>59.822945901255004</v>
      </c>
      <c r="AR28" s="31">
        <f t="shared" si="7"/>
        <v>54.710828354870003</v>
      </c>
      <c r="AS28">
        <f t="shared" si="8"/>
        <v>51.993036233635003</v>
      </c>
      <c r="AT28">
        <f t="shared" ca="1" si="9"/>
        <v>2465.1999999999998</v>
      </c>
      <c r="AU28">
        <f t="shared" ca="1" si="10"/>
        <v>66.731361448459992</v>
      </c>
      <c r="AV28">
        <f t="shared" ca="1" si="11"/>
        <v>61.544188281311946</v>
      </c>
    </row>
    <row r="29" spans="1:48" x14ac:dyDescent="0.2">
      <c r="L29">
        <v>60</v>
      </c>
      <c r="M29">
        <v>2010.1714999999999</v>
      </c>
      <c r="N29">
        <f t="shared" si="12"/>
        <v>2014.1776333333335</v>
      </c>
      <c r="O29">
        <v>7233.5879999999997</v>
      </c>
      <c r="AM29">
        <v>2200</v>
      </c>
      <c r="AN29" s="31">
        <f>1.54699233E-21*x^5-5.76275474E-17*x^4+1.9085854E-13*x^3+0.0000000294845376*x^2+0.00016428*x+58.46265295</f>
        <v>58.462652949999999</v>
      </c>
      <c r="AO29" s="31">
        <f t="shared" si="5"/>
        <v>57.355433597634992</v>
      </c>
      <c r="AP29" s="31">
        <f t="shared" si="6"/>
        <v>55.709412315579996</v>
      </c>
      <c r="AQ29">
        <f t="shared" si="13"/>
        <v>54.762469194491665</v>
      </c>
      <c r="AR29" s="31">
        <f t="shared" si="7"/>
        <v>50.02775358905</v>
      </c>
      <c r="AS29">
        <f t="shared" si="8"/>
        <v>47.553678797525002</v>
      </c>
      <c r="AT29" t="str">
        <f t="shared" ca="1" si="9"/>
        <v/>
      </c>
      <c r="AU29" t="str">
        <f t="shared" ca="1" si="10"/>
        <v/>
      </c>
      <c r="AV29" t="str">
        <f t="shared" ca="1" si="11"/>
        <v/>
      </c>
    </row>
    <row r="30" spans="1:48" x14ac:dyDescent="0.2">
      <c r="AM30">
        <v>2000</v>
      </c>
      <c r="AN30" s="31">
        <f>3.51098019E-21*x^5-1.44017044E-16*x^4+1.12797936E-12*x^3+0.0000000333488649*x^2+0.0000283154167*x+51.31731653</f>
        <v>51.317316529999999</v>
      </c>
      <c r="AO30" s="31">
        <f t="shared" si="5"/>
        <v>51.172573993408996</v>
      </c>
      <c r="AP30" s="31">
        <f t="shared" si="6"/>
        <v>49.761634279572</v>
      </c>
      <c r="AQ30">
        <f t="shared" si="13"/>
        <v>48.902102440688331</v>
      </c>
      <c r="AR30" s="31">
        <f t="shared" si="7"/>
        <v>44.604443246270002</v>
      </c>
      <c r="AS30">
        <f t="shared" si="8"/>
        <v>42.412609243335005</v>
      </c>
      <c r="AT30" t="str">
        <f t="shared" ca="1" si="9"/>
        <v/>
      </c>
      <c r="AU30" t="str">
        <f t="shared" ca="1" si="10"/>
        <v/>
      </c>
      <c r="AV30" t="str">
        <f t="shared" ca="1" si="11"/>
        <v/>
      </c>
    </row>
    <row r="31" spans="1:48" x14ac:dyDescent="0.2">
      <c r="L31">
        <v>-20</v>
      </c>
      <c r="M31">
        <v>949.30949999999996</v>
      </c>
      <c r="N31">
        <f>AVERAGE($M$31:$M$35)</f>
        <v>976.39020000000005</v>
      </c>
      <c r="O31">
        <v>-3400.9706999999999</v>
      </c>
    </row>
    <row r="32" spans="1:48" x14ac:dyDescent="0.2">
      <c r="L32">
        <v>0</v>
      </c>
      <c r="M32">
        <v>941.60659999999996</v>
      </c>
      <c r="N32">
        <f>AVERAGE($M$31:$M$35)</f>
        <v>976.39020000000005</v>
      </c>
      <c r="O32">
        <v>-581.72940000000006</v>
      </c>
    </row>
    <row r="33" spans="12:15" x14ac:dyDescent="0.2">
      <c r="L33">
        <v>20</v>
      </c>
      <c r="M33">
        <v>968.98429999999996</v>
      </c>
      <c r="N33">
        <f t="shared" ref="N33:N35" si="14">AVERAGE($M$31:$M$35)</f>
        <v>976.39020000000005</v>
      </c>
      <c r="O33">
        <v>1863.9701</v>
      </c>
    </row>
    <row r="34" spans="12:15" x14ac:dyDescent="0.2">
      <c r="L34">
        <v>40</v>
      </c>
      <c r="M34">
        <v>996.54759999999999</v>
      </c>
      <c r="N34">
        <f t="shared" si="14"/>
        <v>976.39020000000005</v>
      </c>
      <c r="O34">
        <v>4241.7359999999999</v>
      </c>
    </row>
    <row r="35" spans="12:15" x14ac:dyDescent="0.2">
      <c r="L35">
        <v>60</v>
      </c>
      <c r="M35">
        <v>1025.5029999999999</v>
      </c>
      <c r="N35">
        <f t="shared" si="14"/>
        <v>976.39020000000005</v>
      </c>
      <c r="O35">
        <v>6110.0005000000001</v>
      </c>
    </row>
    <row r="37" spans="12:15" x14ac:dyDescent="0.2">
      <c r="L37">
        <v>-20</v>
      </c>
      <c r="M37">
        <v>-1.2992798000000001</v>
      </c>
      <c r="N37">
        <f>AVERAGE($M$37:$M$41)</f>
        <v>15.535674439999999</v>
      </c>
      <c r="O37">
        <v>-4524.4652999999998</v>
      </c>
    </row>
    <row r="38" spans="12:15" x14ac:dyDescent="0.2">
      <c r="L38">
        <v>0</v>
      </c>
      <c r="M38">
        <v>7.8420820000000004</v>
      </c>
      <c r="N38">
        <f t="shared" ref="N38:N41" si="15">AVERAGE($M$37:$M$41)</f>
        <v>15.535674439999999</v>
      </c>
      <c r="O38">
        <v>-1637.2443000000001</v>
      </c>
    </row>
    <row r="39" spans="12:15" x14ac:dyDescent="0.2">
      <c r="L39">
        <v>20</v>
      </c>
      <c r="M39">
        <v>18.375527999999999</v>
      </c>
      <c r="N39">
        <f t="shared" si="15"/>
        <v>15.535674439999999</v>
      </c>
      <c r="O39">
        <v>740.47540000000004</v>
      </c>
    </row>
    <row r="40" spans="12:15" x14ac:dyDescent="0.2">
      <c r="L40">
        <v>40</v>
      </c>
      <c r="M40">
        <v>29.048185</v>
      </c>
      <c r="N40">
        <f t="shared" si="15"/>
        <v>15.535674439999999</v>
      </c>
      <c r="O40">
        <v>3067.2449000000001</v>
      </c>
    </row>
    <row r="41" spans="12:15" x14ac:dyDescent="0.2">
      <c r="L41">
        <v>60</v>
      </c>
      <c r="M41">
        <v>23.711856999999998</v>
      </c>
      <c r="N41">
        <f t="shared" si="15"/>
        <v>15.535674439999999</v>
      </c>
      <c r="O41">
        <v>5020.3339999999998</v>
      </c>
    </row>
  </sheetData>
  <mergeCells count="14">
    <mergeCell ref="AO21:AS21"/>
    <mergeCell ref="AL2:AM2"/>
    <mergeCell ref="AN2:AO2"/>
    <mergeCell ref="Z2:AA2"/>
    <mergeCell ref="AB2:AC2"/>
    <mergeCell ref="AD2:AE2"/>
    <mergeCell ref="AF2:AG2"/>
    <mergeCell ref="AH2:AI2"/>
    <mergeCell ref="AJ2:AK2"/>
    <mergeCell ref="Z1:AO1"/>
    <mergeCell ref="AQ2:AR2"/>
    <mergeCell ref="AS2:AT2"/>
    <mergeCell ref="AU2:AV2"/>
    <mergeCell ref="AW2:AX2"/>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4:B22"/>
  <sheetViews>
    <sheetView workbookViewId="0">
      <selection activeCell="BG31" sqref="BG31"/>
    </sheetView>
  </sheetViews>
  <sheetFormatPr defaultRowHeight="12.75" x14ac:dyDescent="0.2"/>
  <sheetData>
    <row r="4" spans="2:2" x14ac:dyDescent="0.2">
      <c r="B4">
        <v>0</v>
      </c>
    </row>
    <row r="5" spans="2:2" x14ac:dyDescent="0.2">
      <c r="B5">
        <v>5</v>
      </c>
    </row>
    <row r="6" spans="2:2" x14ac:dyDescent="0.2">
      <c r="B6">
        <v>10</v>
      </c>
    </row>
    <row r="7" spans="2:2" x14ac:dyDescent="0.2">
      <c r="B7">
        <v>15</v>
      </c>
    </row>
    <row r="8" spans="2:2" x14ac:dyDescent="0.2">
      <c r="B8">
        <v>20</v>
      </c>
    </row>
    <row r="9" spans="2:2" x14ac:dyDescent="0.2">
      <c r="B9">
        <v>25</v>
      </c>
    </row>
    <row r="10" spans="2:2" x14ac:dyDescent="0.2">
      <c r="B10">
        <v>30</v>
      </c>
    </row>
    <row r="11" spans="2:2" x14ac:dyDescent="0.2">
      <c r="B11">
        <v>35</v>
      </c>
    </row>
    <row r="12" spans="2:2" x14ac:dyDescent="0.2">
      <c r="B12">
        <v>40</v>
      </c>
    </row>
    <row r="13" spans="2:2" x14ac:dyDescent="0.2">
      <c r="B13">
        <v>45</v>
      </c>
    </row>
    <row r="14" spans="2:2" x14ac:dyDescent="0.2">
      <c r="B14">
        <v>50</v>
      </c>
    </row>
    <row r="15" spans="2:2" x14ac:dyDescent="0.2">
      <c r="B15">
        <v>55</v>
      </c>
    </row>
    <row r="16" spans="2:2" x14ac:dyDescent="0.2">
      <c r="B16">
        <v>60</v>
      </c>
    </row>
    <row r="17" spans="2:2" x14ac:dyDescent="0.2">
      <c r="B17">
        <v>65</v>
      </c>
    </row>
    <row r="18" spans="2:2" x14ac:dyDescent="0.2">
      <c r="B18">
        <v>70</v>
      </c>
    </row>
    <row r="19" spans="2:2" x14ac:dyDescent="0.2">
      <c r="B19">
        <v>75</v>
      </c>
    </row>
    <row r="20" spans="2:2" x14ac:dyDescent="0.2">
      <c r="B20">
        <v>80</v>
      </c>
    </row>
    <row r="21" spans="2:2" x14ac:dyDescent="0.2">
      <c r="B21">
        <v>85</v>
      </c>
    </row>
    <row r="22" spans="2:2" x14ac:dyDescent="0.2">
      <c r="B22">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W &amp; B</vt:lpstr>
      <vt:lpstr>CG Envelope</vt:lpstr>
      <vt:lpstr>TH-57C</vt:lpstr>
      <vt:lpstr>TH-57B</vt:lpstr>
      <vt:lpstr>TH-73A</vt:lpstr>
      <vt:lpstr>Data</vt:lpstr>
      <vt:lpstr>How-to-update</vt:lpstr>
      <vt:lpstr>PA_DA_HIGE_HOGE</vt:lpstr>
      <vt:lpstr>AOB Power Addition</vt:lpstr>
      <vt:lpstr>HGW</vt:lpstr>
      <vt:lpstr>HGWCG</vt:lpstr>
      <vt:lpstr>HGWCGMAX</vt:lpstr>
      <vt:lpstr>HGWMAXCG</vt:lpstr>
      <vt:lpstr>MAXCG</vt:lpstr>
      <vt:lpstr>PA</vt:lpstr>
      <vt:lpstr>'TH-57C'!Print_Area</vt:lpstr>
      <vt:lpstr>'W &amp; B'!Print_Area</vt:lpstr>
      <vt:lpstr>TEMP</vt:lpstr>
      <vt:lpstr>x</vt:lpstr>
    </vt:vector>
  </TitlesOfParts>
  <Company>NMCI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jacob.matt</dc:creator>
  <cp:lastModifiedBy>Fitzsimmons, Patrick M LTJG USCG USN HT-28 (USA)</cp:lastModifiedBy>
  <cp:lastPrinted>2023-03-09T15:41:22Z</cp:lastPrinted>
  <dcterms:created xsi:type="dcterms:W3CDTF">2006-05-09T14:43:50Z</dcterms:created>
  <dcterms:modified xsi:type="dcterms:W3CDTF">2024-02-23T14:40:55Z</dcterms:modified>
</cp:coreProperties>
</file>