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brody.p.samaha1\Desktop\"/>
    </mc:Choice>
  </mc:AlternateContent>
  <xr:revisionPtr revIDLastSave="0" documentId="8_{6182C79C-AB18-47C7-A613-F7064C1A1F8D}" xr6:coauthVersionLast="47" xr6:coauthVersionMax="47" xr10:uidLastSave="{00000000-0000-0000-0000-000000000000}"/>
  <workbookProtection workbookAlgorithmName="SHA-512" workbookHashValue="jIOHiBVlrQIxwUGUa0R+ficlk7z5fMjeWGUub8U4UHIFaFN/3ZotLGNZKduk7cOG94SwCdAx0YZxWZbI3E0Mfw==" workbookSaltValue="BVA2uczfPko3NUSiloTYtQ==" workbookSpinCount="100000" lockStructure="1"/>
  <bookViews>
    <workbookView xWindow="28680" yWindow="90" windowWidth="29040" windowHeight="15630" tabRatio="676" firstSheet="5" activeTab="11" xr2:uid="{00000000-000D-0000-FFFF-FFFF00000000}"/>
  </bookViews>
  <sheets>
    <sheet name="Start Here" sheetId="4" r:id="rId1"/>
    <sheet name="Kneeboard Cards" sheetId="5" r:id="rId2"/>
    <sheet name="Chart E W&amp;B Form" sheetId="2" r:id="rId3"/>
    <sheet name="Performance Calculations" sheetId="6" r:id="rId4"/>
    <sheet name="TERF_FORM Common KBC" sheetId="10" r:id="rId5"/>
    <sheet name="FORM-West Common KBC" sheetId="11" r:id="rId6"/>
    <sheet name="FORM-East Common KBC" sheetId="12" r:id="rId7"/>
    <sheet name="Kneeboard Cards (Blank)" sheetId="13" r:id="rId8"/>
    <sheet name="Reference Tables" sheetId="3" r:id="rId9"/>
    <sheet name="NATOPS Tables" sheetId="1" r:id="rId10"/>
    <sheet name="Perf Tables" sheetId="7" r:id="rId11"/>
    <sheet name="Crew W&amp;B" sheetId="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K70" i="3"/>
  <c r="K71" i="3"/>
  <c r="K72" i="3"/>
  <c r="K73" i="3"/>
  <c r="K74" i="3"/>
  <c r="K75" i="3"/>
  <c r="K76" i="3"/>
  <c r="K77" i="3"/>
  <c r="E77" i="3" s="1"/>
  <c r="K78" i="3"/>
  <c r="E78" i="3" s="1"/>
  <c r="K79" i="3"/>
  <c r="E79" i="3" s="1"/>
  <c r="K80" i="3"/>
  <c r="E80" i="3" s="1"/>
  <c r="K81" i="3"/>
  <c r="E81" i="3" s="1"/>
  <c r="K82" i="3"/>
  <c r="E82" i="3" s="1"/>
  <c r="K83" i="3"/>
  <c r="E83" i="3" s="1"/>
  <c r="K84" i="3"/>
  <c r="K85" i="3"/>
  <c r="K86" i="3"/>
  <c r="K87" i="3"/>
  <c r="K88" i="3"/>
  <c r="K89" i="3"/>
  <c r="K90" i="3"/>
  <c r="E90" i="3" s="1"/>
  <c r="K91" i="3"/>
  <c r="E91" i="3" s="1"/>
  <c r="K92" i="3"/>
  <c r="E92" i="3" s="1"/>
  <c r="K93" i="3"/>
  <c r="E93" i="3" s="1"/>
  <c r="K94" i="3"/>
  <c r="K95" i="3"/>
  <c r="K96" i="3"/>
  <c r="K97" i="3"/>
  <c r="K98" i="3"/>
  <c r="E98" i="3" s="1"/>
  <c r="K99" i="3"/>
  <c r="E99" i="3" s="1"/>
  <c r="K100" i="3"/>
  <c r="E100" i="3" s="1"/>
  <c r="K101" i="3"/>
  <c r="E101" i="3" s="1"/>
  <c r="K102" i="3"/>
  <c r="E102" i="3" s="1"/>
  <c r="K103" i="3"/>
  <c r="E103" i="3" s="1"/>
  <c r="K104" i="3"/>
  <c r="E104" i="3" s="1"/>
  <c r="K105" i="3"/>
  <c r="E105" i="3" s="1"/>
  <c r="K106" i="3"/>
  <c r="K107" i="3"/>
  <c r="K108" i="3"/>
  <c r="K109" i="3"/>
  <c r="K110" i="3"/>
  <c r="K111" i="3"/>
  <c r="K112" i="3"/>
  <c r="K113" i="3"/>
  <c r="E113" i="3" s="1"/>
  <c r="K114" i="3"/>
  <c r="E114" i="3" s="1"/>
  <c r="K115" i="3"/>
  <c r="E115" i="3" s="1"/>
  <c r="K116" i="3"/>
  <c r="E116" i="3" s="1"/>
  <c r="K117" i="3"/>
  <c r="E117" i="3" s="1"/>
  <c r="K118" i="3"/>
  <c r="E118" i="3" s="1"/>
  <c r="K119" i="3"/>
  <c r="K120" i="3"/>
  <c r="K121" i="3"/>
  <c r="K122" i="3"/>
  <c r="K123" i="3"/>
  <c r="K124" i="3"/>
  <c r="K125" i="3"/>
  <c r="K126" i="3"/>
  <c r="E126" i="3" s="1"/>
  <c r="K127" i="3"/>
  <c r="E127" i="3" s="1"/>
  <c r="K128" i="3"/>
  <c r="E128" i="3" s="1"/>
  <c r="K129" i="3"/>
  <c r="E129" i="3" s="1"/>
  <c r="K130" i="3"/>
  <c r="K131" i="3"/>
  <c r="K132" i="3"/>
  <c r="K133" i="3"/>
  <c r="K134" i="3"/>
  <c r="E134" i="3" s="1"/>
  <c r="K135" i="3"/>
  <c r="E135" i="3" s="1"/>
  <c r="K136" i="3"/>
  <c r="E136" i="3" s="1"/>
  <c r="K137" i="3"/>
  <c r="E137" i="3" s="1"/>
  <c r="K138" i="3"/>
  <c r="E138" i="3" s="1"/>
  <c r="K139" i="3"/>
  <c r="E139" i="3" s="1"/>
  <c r="K140" i="3"/>
  <c r="E140" i="3" s="1"/>
  <c r="K141" i="3"/>
  <c r="E141" i="3" s="1"/>
  <c r="K142" i="3"/>
  <c r="K143" i="3"/>
  <c r="K144" i="3"/>
  <c r="K145" i="3"/>
  <c r="K146" i="3"/>
  <c r="K147" i="3"/>
  <c r="K148" i="3"/>
  <c r="K149" i="3"/>
  <c r="E149" i="3" s="1"/>
  <c r="K150" i="3"/>
  <c r="E150" i="3" s="1"/>
  <c r="K151" i="3"/>
  <c r="E151" i="3" s="1"/>
  <c r="K152" i="3"/>
  <c r="E152" i="3" s="1"/>
  <c r="K153" i="3"/>
  <c r="E153" i="3" s="1"/>
  <c r="K154" i="3"/>
  <c r="E154" i="3" s="1"/>
  <c r="K155" i="3"/>
  <c r="K156" i="3"/>
  <c r="K157" i="3"/>
  <c r="K158" i="3"/>
  <c r="K159" i="3"/>
  <c r="K160" i="3"/>
  <c r="K161" i="3"/>
  <c r="K162" i="3"/>
  <c r="E162" i="3" s="1"/>
  <c r="K163" i="3"/>
  <c r="E163" i="3" s="1"/>
  <c r="K164" i="3"/>
  <c r="E164" i="3" s="1"/>
  <c r="K165" i="3"/>
  <c r="E165" i="3" s="1"/>
  <c r="K166" i="3"/>
  <c r="K167" i="3"/>
  <c r="K168" i="3"/>
  <c r="K169" i="3"/>
  <c r="K170" i="3"/>
  <c r="E170" i="3" s="1"/>
  <c r="K171" i="3"/>
  <c r="E171" i="3" s="1"/>
  <c r="K172" i="3"/>
  <c r="E172" i="3" s="1"/>
  <c r="K173" i="3"/>
  <c r="E173" i="3" s="1"/>
  <c r="K174" i="3"/>
  <c r="E174" i="3" s="1"/>
  <c r="K175" i="3"/>
  <c r="E175" i="3" s="1"/>
  <c r="K176" i="3"/>
  <c r="E176" i="3" s="1"/>
  <c r="K177" i="3"/>
  <c r="E177" i="3" s="1"/>
  <c r="K178" i="3"/>
  <c r="K179" i="3"/>
  <c r="K180" i="3"/>
  <c r="K181" i="3"/>
  <c r="K182" i="3"/>
  <c r="K183" i="3"/>
  <c r="K184" i="3"/>
  <c r="K185" i="3"/>
  <c r="E185" i="3" s="1"/>
  <c r="K186" i="3"/>
  <c r="E186" i="3" s="1"/>
  <c r="K187" i="3"/>
  <c r="E187" i="3" s="1"/>
  <c r="K188" i="3"/>
  <c r="E188" i="3" s="1"/>
  <c r="K189" i="3"/>
  <c r="E189" i="3" s="1"/>
  <c r="K190" i="3"/>
  <c r="E190" i="3" s="1"/>
  <c r="K191" i="3"/>
  <c r="K192" i="3"/>
  <c r="K193" i="3"/>
  <c r="K194" i="3"/>
  <c r="K195" i="3"/>
  <c r="K196" i="3"/>
  <c r="K197" i="3"/>
  <c r="K198" i="3"/>
  <c r="E198" i="3" s="1"/>
  <c r="J70" i="3"/>
  <c r="J71" i="3"/>
  <c r="J72" i="3"/>
  <c r="D72" i="3" s="1"/>
  <c r="J73" i="3"/>
  <c r="D73" i="3" s="1"/>
  <c r="J74" i="3"/>
  <c r="J75" i="3"/>
  <c r="J76" i="3"/>
  <c r="D76" i="3" s="1"/>
  <c r="J77" i="3"/>
  <c r="J78" i="3"/>
  <c r="J79" i="3"/>
  <c r="J80" i="3"/>
  <c r="D80" i="3" s="1"/>
  <c r="J81" i="3"/>
  <c r="D81" i="3" s="1"/>
  <c r="J82" i="3"/>
  <c r="D82" i="3" s="1"/>
  <c r="J83" i="3"/>
  <c r="D83" i="3" s="1"/>
  <c r="J84" i="3"/>
  <c r="D84" i="3" s="1"/>
  <c r="J85" i="3"/>
  <c r="J86" i="3"/>
  <c r="J87" i="3"/>
  <c r="J88" i="3"/>
  <c r="D88" i="3" s="1"/>
  <c r="J89" i="3"/>
  <c r="D89" i="3" s="1"/>
  <c r="J90" i="3"/>
  <c r="D90" i="3" s="1"/>
  <c r="J91" i="3"/>
  <c r="D91" i="3" s="1"/>
  <c r="J92" i="3"/>
  <c r="D92" i="3" s="1"/>
  <c r="J93" i="3"/>
  <c r="D93" i="3" s="1"/>
  <c r="J94" i="3"/>
  <c r="D94" i="3" s="1"/>
  <c r="J95" i="3"/>
  <c r="D95" i="3" s="1"/>
  <c r="J96" i="3"/>
  <c r="D96" i="3" s="1"/>
  <c r="J97" i="3"/>
  <c r="J98" i="3"/>
  <c r="J99" i="3"/>
  <c r="J100" i="3"/>
  <c r="D100" i="3" s="1"/>
  <c r="J101" i="3"/>
  <c r="J102" i="3"/>
  <c r="J103" i="3"/>
  <c r="J104" i="3"/>
  <c r="D104" i="3" s="1"/>
  <c r="J105" i="3"/>
  <c r="D105" i="3" s="1"/>
  <c r="J106" i="3"/>
  <c r="D106" i="3" s="1"/>
  <c r="J107" i="3"/>
  <c r="D107" i="3" s="1"/>
  <c r="J108" i="3"/>
  <c r="D108" i="3" s="1"/>
  <c r="J109" i="3"/>
  <c r="D109" i="3" s="1"/>
  <c r="J110" i="3"/>
  <c r="J111" i="3"/>
  <c r="J112" i="3"/>
  <c r="D112" i="3" s="1"/>
  <c r="J113" i="3"/>
  <c r="J114" i="3"/>
  <c r="J115" i="3"/>
  <c r="J116" i="3"/>
  <c r="D116" i="3" s="1"/>
  <c r="J117" i="3"/>
  <c r="D117" i="3" s="1"/>
  <c r="J118" i="3"/>
  <c r="J119" i="3"/>
  <c r="J120" i="3"/>
  <c r="D120" i="3" s="1"/>
  <c r="J121" i="3"/>
  <c r="D121" i="3" s="1"/>
  <c r="J122" i="3"/>
  <c r="J123" i="3"/>
  <c r="J124" i="3"/>
  <c r="D124" i="3" s="1"/>
  <c r="J125" i="3"/>
  <c r="J126" i="3"/>
  <c r="J127" i="3"/>
  <c r="J128" i="3"/>
  <c r="D128" i="3" s="1"/>
  <c r="J129" i="3"/>
  <c r="D129" i="3" s="1"/>
  <c r="J130" i="3"/>
  <c r="D130" i="3" s="1"/>
  <c r="J131" i="3"/>
  <c r="D131" i="3" s="1"/>
  <c r="J132" i="3"/>
  <c r="D132" i="3" s="1"/>
  <c r="J133" i="3"/>
  <c r="J134" i="3"/>
  <c r="J135" i="3"/>
  <c r="J136" i="3"/>
  <c r="D136" i="3" s="1"/>
  <c r="J137" i="3"/>
  <c r="D137" i="3" s="1"/>
  <c r="J138" i="3"/>
  <c r="D138" i="3" s="1"/>
  <c r="J139" i="3"/>
  <c r="D139" i="3" s="1"/>
  <c r="J140" i="3"/>
  <c r="D140" i="3" s="1"/>
  <c r="J141" i="3"/>
  <c r="D141" i="3" s="1"/>
  <c r="J142" i="3"/>
  <c r="D142" i="3" s="1"/>
  <c r="J143" i="3"/>
  <c r="D143" i="3" s="1"/>
  <c r="J144" i="3"/>
  <c r="D144" i="3" s="1"/>
  <c r="J145" i="3"/>
  <c r="J146" i="3"/>
  <c r="J147" i="3"/>
  <c r="J148" i="3"/>
  <c r="D148" i="3" s="1"/>
  <c r="J149" i="3"/>
  <c r="J150" i="3"/>
  <c r="J151" i="3"/>
  <c r="J152" i="3"/>
  <c r="D152" i="3" s="1"/>
  <c r="J153" i="3"/>
  <c r="D153" i="3" s="1"/>
  <c r="J154" i="3"/>
  <c r="D154" i="3" s="1"/>
  <c r="J155" i="3"/>
  <c r="D155" i="3" s="1"/>
  <c r="J156" i="3"/>
  <c r="D156" i="3" s="1"/>
  <c r="J157" i="3"/>
  <c r="D157" i="3" s="1"/>
  <c r="J158" i="3"/>
  <c r="J159" i="3"/>
  <c r="J160" i="3"/>
  <c r="D160" i="3" s="1"/>
  <c r="J161" i="3"/>
  <c r="J162" i="3"/>
  <c r="J163" i="3"/>
  <c r="J164" i="3"/>
  <c r="D164" i="3" s="1"/>
  <c r="J165" i="3"/>
  <c r="D165" i="3" s="1"/>
  <c r="J166" i="3"/>
  <c r="J167" i="3"/>
  <c r="J168" i="3"/>
  <c r="D168" i="3" s="1"/>
  <c r="J169" i="3"/>
  <c r="D169" i="3" s="1"/>
  <c r="J170" i="3"/>
  <c r="J171" i="3"/>
  <c r="J172" i="3"/>
  <c r="D172" i="3" s="1"/>
  <c r="J173" i="3"/>
  <c r="J174" i="3"/>
  <c r="J175" i="3"/>
  <c r="J176" i="3"/>
  <c r="D176" i="3" s="1"/>
  <c r="J177" i="3"/>
  <c r="D177" i="3" s="1"/>
  <c r="J178" i="3"/>
  <c r="D178" i="3" s="1"/>
  <c r="J179" i="3"/>
  <c r="D179" i="3" s="1"/>
  <c r="J180" i="3"/>
  <c r="D180" i="3" s="1"/>
  <c r="J181" i="3"/>
  <c r="J182" i="3"/>
  <c r="J183" i="3"/>
  <c r="J184" i="3"/>
  <c r="D184" i="3" s="1"/>
  <c r="J185" i="3"/>
  <c r="D185" i="3" s="1"/>
  <c r="J186" i="3"/>
  <c r="D186" i="3" s="1"/>
  <c r="J187" i="3"/>
  <c r="D187" i="3" s="1"/>
  <c r="J188" i="3"/>
  <c r="D188" i="3" s="1"/>
  <c r="J189" i="3"/>
  <c r="D189" i="3" s="1"/>
  <c r="J190" i="3"/>
  <c r="D190" i="3" s="1"/>
  <c r="J191" i="3"/>
  <c r="D191" i="3" s="1"/>
  <c r="J192" i="3"/>
  <c r="D192" i="3" s="1"/>
  <c r="J193" i="3"/>
  <c r="J194" i="3"/>
  <c r="J195" i="3"/>
  <c r="J196" i="3"/>
  <c r="D196" i="3" s="1"/>
  <c r="J197" i="3"/>
  <c r="J198" i="3"/>
  <c r="E70" i="3"/>
  <c r="E71" i="3"/>
  <c r="E72" i="3"/>
  <c r="E73" i="3"/>
  <c r="E74" i="3"/>
  <c r="E75" i="3"/>
  <c r="E76" i="3"/>
  <c r="E84" i="3"/>
  <c r="E85" i="3"/>
  <c r="E86" i="3"/>
  <c r="E87" i="3"/>
  <c r="E88" i="3"/>
  <c r="E89" i="3"/>
  <c r="E94" i="3"/>
  <c r="E95" i="3"/>
  <c r="E96" i="3"/>
  <c r="E97" i="3"/>
  <c r="E106" i="3"/>
  <c r="E107" i="3"/>
  <c r="E108" i="3"/>
  <c r="E109" i="3"/>
  <c r="E110" i="3"/>
  <c r="E111" i="3"/>
  <c r="E112" i="3"/>
  <c r="E119" i="3"/>
  <c r="E120" i="3"/>
  <c r="E121" i="3"/>
  <c r="E122" i="3"/>
  <c r="E123" i="3"/>
  <c r="E124" i="3"/>
  <c r="E125" i="3"/>
  <c r="E130" i="3"/>
  <c r="E131" i="3"/>
  <c r="E132" i="3"/>
  <c r="E133" i="3"/>
  <c r="E142" i="3"/>
  <c r="E143" i="3"/>
  <c r="E144" i="3"/>
  <c r="E145" i="3"/>
  <c r="E146" i="3"/>
  <c r="E147" i="3"/>
  <c r="E148" i="3"/>
  <c r="E155" i="3"/>
  <c r="E156" i="3"/>
  <c r="E157" i="3"/>
  <c r="E158" i="3"/>
  <c r="E159" i="3"/>
  <c r="E160" i="3"/>
  <c r="E161" i="3"/>
  <c r="E166" i="3"/>
  <c r="E167" i="3"/>
  <c r="E168" i="3"/>
  <c r="E169" i="3"/>
  <c r="E178" i="3"/>
  <c r="E179" i="3"/>
  <c r="E180" i="3"/>
  <c r="E181" i="3"/>
  <c r="E182" i="3"/>
  <c r="E183" i="3"/>
  <c r="E184" i="3"/>
  <c r="E191" i="3"/>
  <c r="E192" i="3"/>
  <c r="E193" i="3"/>
  <c r="E194" i="3"/>
  <c r="E195" i="3"/>
  <c r="E196" i="3"/>
  <c r="E197" i="3"/>
  <c r="D70" i="3"/>
  <c r="D71" i="3"/>
  <c r="D74" i="3"/>
  <c r="D75" i="3"/>
  <c r="D77" i="3"/>
  <c r="D78" i="3"/>
  <c r="D79" i="3"/>
  <c r="D85" i="3"/>
  <c r="D86" i="3"/>
  <c r="D87" i="3"/>
  <c r="D97" i="3"/>
  <c r="D98" i="3"/>
  <c r="D99" i="3"/>
  <c r="D101" i="3"/>
  <c r="D102" i="3"/>
  <c r="D103" i="3"/>
  <c r="D110" i="3"/>
  <c r="D111" i="3"/>
  <c r="D113" i="3"/>
  <c r="D114" i="3"/>
  <c r="D115" i="3"/>
  <c r="D118" i="3"/>
  <c r="D119" i="3"/>
  <c r="D122" i="3"/>
  <c r="D123" i="3"/>
  <c r="D125" i="3"/>
  <c r="D126" i="3"/>
  <c r="D127" i="3"/>
  <c r="D133" i="3"/>
  <c r="D134" i="3"/>
  <c r="D135" i="3"/>
  <c r="D145" i="3"/>
  <c r="D146" i="3"/>
  <c r="D147" i="3"/>
  <c r="D149" i="3"/>
  <c r="D150" i="3"/>
  <c r="D151" i="3"/>
  <c r="D158" i="3"/>
  <c r="D159" i="3"/>
  <c r="D161" i="3"/>
  <c r="D162" i="3"/>
  <c r="D163" i="3"/>
  <c r="D166" i="3"/>
  <c r="D167" i="3"/>
  <c r="D170" i="3"/>
  <c r="D171" i="3"/>
  <c r="D173" i="3"/>
  <c r="D174" i="3"/>
  <c r="D175" i="3"/>
  <c r="D181" i="3"/>
  <c r="D182" i="3"/>
  <c r="D183" i="3"/>
  <c r="D193" i="3"/>
  <c r="D194" i="3"/>
  <c r="D195" i="3"/>
  <c r="D197" i="3"/>
  <c r="D198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H18" i="13" l="1"/>
  <c r="G18" i="13"/>
  <c r="F18" i="13"/>
  <c r="E18" i="13"/>
  <c r="D18" i="13"/>
  <c r="C18" i="13"/>
  <c r="D17" i="13"/>
  <c r="C17" i="13"/>
  <c r="V16" i="13"/>
  <c r="Q16" i="13"/>
  <c r="D16" i="13"/>
  <c r="C16" i="13"/>
  <c r="V15" i="13"/>
  <c r="Q15" i="13"/>
  <c r="V14" i="13"/>
  <c r="Q14" i="13"/>
  <c r="C13" i="13"/>
  <c r="D13" i="13" s="1"/>
  <c r="AK43" i="13"/>
  <c r="AH43" i="13"/>
  <c r="AW10" i="13"/>
  <c r="AS10" i="13"/>
  <c r="AK10" i="13"/>
  <c r="AC10" i="13"/>
  <c r="V10" i="13"/>
  <c r="S10" i="13"/>
  <c r="O10" i="13"/>
  <c r="AK41" i="13"/>
  <c r="AH41" i="13"/>
  <c r="R41" i="13"/>
  <c r="O41" i="13"/>
  <c r="AB8" i="13"/>
  <c r="W8" i="13"/>
  <c r="S8" i="13"/>
  <c r="P8" i="13"/>
  <c r="T6" i="13"/>
  <c r="AE3" i="13"/>
  <c r="K3" i="5" l="1"/>
  <c r="K2" i="5"/>
  <c r="K1" i="5"/>
  <c r="C69" i="3" l="1"/>
  <c r="J69" i="3"/>
  <c r="D69" i="3" s="1"/>
  <c r="K69" i="3"/>
  <c r="E69" i="3" s="1"/>
  <c r="D212" i="3" l="1"/>
  <c r="B212" i="3" s="1"/>
  <c r="C211" i="3"/>
  <c r="O32" i="5"/>
  <c r="C1" i="5"/>
  <c r="C4" i="5"/>
  <c r="C2" i="5"/>
  <c r="E212" i="3" l="1"/>
  <c r="C212" i="3"/>
  <c r="B211" i="3"/>
  <c r="E211" i="3"/>
  <c r="D211" i="3"/>
  <c r="F268" i="3"/>
  <c r="G268" i="3"/>
  <c r="F269" i="3"/>
  <c r="G269" i="3"/>
  <c r="F270" i="3"/>
  <c r="G270" i="3"/>
  <c r="F271" i="3"/>
  <c r="H271" i="3" s="1"/>
  <c r="H280" i="3" s="1"/>
  <c r="G271" i="3"/>
  <c r="F272" i="3"/>
  <c r="H272" i="3" s="1"/>
  <c r="H281" i="3" s="1"/>
  <c r="D12" i="2" s="1"/>
  <c r="G272" i="3"/>
  <c r="F66" i="7"/>
  <c r="D66" i="7" s="1"/>
  <c r="C60" i="7"/>
  <c r="K60" i="7" s="1"/>
  <c r="C59" i="7"/>
  <c r="P59" i="7" s="1"/>
  <c r="C57" i="7"/>
  <c r="K57" i="7" s="1"/>
  <c r="C56" i="7"/>
  <c r="P56" i="7" s="1"/>
  <c r="C54" i="7"/>
  <c r="K54" i="7" s="1"/>
  <c r="C53" i="7"/>
  <c r="P53" i="7" s="1"/>
  <c r="C61" i="7"/>
  <c r="C58" i="7"/>
  <c r="C55" i="7"/>
  <c r="C52" i="7"/>
  <c r="C51" i="7"/>
  <c r="K51" i="7" s="1"/>
  <c r="C50" i="7"/>
  <c r="P50" i="7" s="1"/>
  <c r="H270" i="3" l="1"/>
  <c r="H279" i="3" s="1"/>
  <c r="D9" i="2" s="1"/>
  <c r="H269" i="3"/>
  <c r="H278" i="3" s="1"/>
  <c r="D7" i="2" s="1"/>
  <c r="H268" i="3"/>
  <c r="H277" i="3" s="1"/>
  <c r="E66" i="7"/>
  <c r="R54" i="7"/>
  <c r="T54" i="7"/>
  <c r="S54" i="7"/>
  <c r="G54" i="7"/>
  <c r="AA57" i="7"/>
  <c r="AA56" i="7"/>
  <c r="E57" i="7"/>
  <c r="W56" i="7"/>
  <c r="V57" i="7"/>
  <c r="F57" i="7"/>
  <c r="T50" i="7"/>
  <c r="F54" i="7"/>
  <c r="U57" i="7"/>
  <c r="V56" i="7"/>
  <c r="S50" i="7"/>
  <c r="AA53" i="7"/>
  <c r="T57" i="7"/>
  <c r="O56" i="7"/>
  <c r="AG54" i="7"/>
  <c r="P57" i="7"/>
  <c r="P58" i="7" s="1"/>
  <c r="X53" i="7"/>
  <c r="J57" i="7"/>
  <c r="L56" i="7"/>
  <c r="AB57" i="7"/>
  <c r="Z53" i="7"/>
  <c r="N56" i="7"/>
  <c r="AF54" i="7"/>
  <c r="Y53" i="7"/>
  <c r="O57" i="7"/>
  <c r="M56" i="7"/>
  <c r="AE54" i="7"/>
  <c r="AD54" i="7"/>
  <c r="AF57" i="7"/>
  <c r="I57" i="7"/>
  <c r="K56" i="7"/>
  <c r="K58" i="7" s="1"/>
  <c r="V54" i="7"/>
  <c r="AE57" i="7"/>
  <c r="H57" i="7"/>
  <c r="AD60" i="7"/>
  <c r="AC57" i="7"/>
  <c r="U54" i="7"/>
  <c r="AD57" i="7"/>
  <c r="G57" i="7"/>
  <c r="J60" i="7"/>
  <c r="I60" i="7"/>
  <c r="M50" i="7"/>
  <c r="O59" i="7"/>
  <c r="AC60" i="7"/>
  <c r="U59" i="7"/>
  <c r="E60" i="7"/>
  <c r="N59" i="7"/>
  <c r="G60" i="7"/>
  <c r="V60" i="7"/>
  <c r="O53" i="7"/>
  <c r="T60" i="7"/>
  <c r="AG59" i="7"/>
  <c r="M59" i="7"/>
  <c r="V59" i="7"/>
  <c r="AA60" i="7"/>
  <c r="F60" i="7"/>
  <c r="L50" i="7"/>
  <c r="U60" i="7"/>
  <c r="Y50" i="7"/>
  <c r="J50" i="7"/>
  <c r="N53" i="7"/>
  <c r="J56" i="7"/>
  <c r="S60" i="7"/>
  <c r="AF59" i="7"/>
  <c r="L59" i="7"/>
  <c r="W59" i="7"/>
  <c r="Z50" i="7"/>
  <c r="K50" i="7"/>
  <c r="K52" i="7" s="1"/>
  <c r="X50" i="7"/>
  <c r="D60" i="7"/>
  <c r="R60" i="7"/>
  <c r="AA59" i="7"/>
  <c r="K59" i="7"/>
  <c r="K61" i="7" s="1"/>
  <c r="AG50" i="7"/>
  <c r="O50" i="7"/>
  <c r="T59" i="7"/>
  <c r="AE50" i="7"/>
  <c r="I50" i="7"/>
  <c r="W50" i="7"/>
  <c r="H50" i="7"/>
  <c r="J54" i="7"/>
  <c r="L53" i="7"/>
  <c r="S57" i="7"/>
  <c r="Z56" i="7"/>
  <c r="AG60" i="7"/>
  <c r="Q60" i="7"/>
  <c r="Z59" i="7"/>
  <c r="J59" i="7"/>
  <c r="AB60" i="7"/>
  <c r="H60" i="7"/>
  <c r="AF50" i="7"/>
  <c r="N50" i="7"/>
  <c r="AA50" i="7"/>
  <c r="M53" i="7"/>
  <c r="V50" i="7"/>
  <c r="G50" i="7"/>
  <c r="I54" i="7"/>
  <c r="D57" i="7"/>
  <c r="R57" i="7"/>
  <c r="Y56" i="7"/>
  <c r="AF60" i="7"/>
  <c r="P60" i="7"/>
  <c r="P61" i="7" s="1"/>
  <c r="Y59" i="7"/>
  <c r="I59" i="7"/>
  <c r="U50" i="7"/>
  <c r="D54" i="7"/>
  <c r="H54" i="7"/>
  <c r="AG57" i="7"/>
  <c r="Q57" i="7"/>
  <c r="X56" i="7"/>
  <c r="AE60" i="7"/>
  <c r="O60" i="7"/>
  <c r="X59" i="7"/>
  <c r="D51" i="7"/>
  <c r="V51" i="7"/>
  <c r="AF51" i="7"/>
  <c r="AG51" i="7"/>
  <c r="AD51" i="7"/>
  <c r="R51" i="7"/>
  <c r="E54" i="7"/>
  <c r="AE51" i="7"/>
  <c r="K53" i="7"/>
  <c r="K55" i="7" s="1"/>
  <c r="Q54" i="7"/>
  <c r="J53" i="7"/>
  <c r="P51" i="7"/>
  <c r="P52" i="7" s="1"/>
  <c r="O51" i="7"/>
  <c r="T53" i="7"/>
  <c r="H59" i="7"/>
  <c r="I51" i="7"/>
  <c r="G51" i="7"/>
  <c r="F51" i="7"/>
  <c r="AC51" i="7"/>
  <c r="O54" i="7"/>
  <c r="AF56" i="7"/>
  <c r="AE53" i="7"/>
  <c r="G53" i="7"/>
  <c r="Z57" i="7"/>
  <c r="N57" i="7"/>
  <c r="AE56" i="7"/>
  <c r="S56" i="7"/>
  <c r="G56" i="7"/>
  <c r="Z60" i="7"/>
  <c r="N60" i="7"/>
  <c r="AE59" i="7"/>
  <c r="S59" i="7"/>
  <c r="G59" i="7"/>
  <c r="H51" i="7"/>
  <c r="S51" i="7"/>
  <c r="W53" i="7"/>
  <c r="Q51" i="7"/>
  <c r="AC54" i="7"/>
  <c r="V53" i="7"/>
  <c r="AB51" i="7"/>
  <c r="P54" i="7"/>
  <c r="P55" i="7" s="1"/>
  <c r="I53" i="7"/>
  <c r="AG56" i="7"/>
  <c r="T56" i="7"/>
  <c r="Z54" i="7"/>
  <c r="S53" i="7"/>
  <c r="Y51" i="7"/>
  <c r="M51" i="7"/>
  <c r="AD50" i="7"/>
  <c r="R50" i="7"/>
  <c r="F50" i="7"/>
  <c r="Y54" i="7"/>
  <c r="M54" i="7"/>
  <c r="AD53" i="7"/>
  <c r="R53" i="7"/>
  <c r="F53" i="7"/>
  <c r="Y57" i="7"/>
  <c r="M57" i="7"/>
  <c r="AD56" i="7"/>
  <c r="R56" i="7"/>
  <c r="F56" i="7"/>
  <c r="Y60" i="7"/>
  <c r="M60" i="7"/>
  <c r="AD59" i="7"/>
  <c r="R59" i="7"/>
  <c r="F59" i="7"/>
  <c r="J51" i="7"/>
  <c r="J52" i="7" s="1"/>
  <c r="U51" i="7"/>
  <c r="AB54" i="7"/>
  <c r="U53" i="7"/>
  <c r="U56" i="7"/>
  <c r="AA54" i="7"/>
  <c r="AF53" i="7"/>
  <c r="H53" i="7"/>
  <c r="H56" i="7"/>
  <c r="X51" i="7"/>
  <c r="L51" i="7"/>
  <c r="AC50" i="7"/>
  <c r="Q50" i="7"/>
  <c r="E50" i="7"/>
  <c r="X54" i="7"/>
  <c r="L54" i="7"/>
  <c r="AC53" i="7"/>
  <c r="Q53" i="7"/>
  <c r="E53" i="7"/>
  <c r="X57" i="7"/>
  <c r="L57" i="7"/>
  <c r="AC56" i="7"/>
  <c r="Q56" i="7"/>
  <c r="E56" i="7"/>
  <c r="X60" i="7"/>
  <c r="L60" i="7"/>
  <c r="AC59" i="7"/>
  <c r="Q59" i="7"/>
  <c r="E59" i="7"/>
  <c r="T51" i="7"/>
  <c r="E51" i="7"/>
  <c r="AG53" i="7"/>
  <c r="I56" i="7"/>
  <c r="AA51" i="7"/>
  <c r="Z51" i="7"/>
  <c r="N51" i="7"/>
  <c r="N54" i="7"/>
  <c r="D50" i="7"/>
  <c r="W51" i="7"/>
  <c r="AB50" i="7"/>
  <c r="D53" i="7"/>
  <c r="W54" i="7"/>
  <c r="AB53" i="7"/>
  <c r="D56" i="7"/>
  <c r="W57" i="7"/>
  <c r="AB56" i="7"/>
  <c r="D59" i="7"/>
  <c r="W60" i="7"/>
  <c r="AB59" i="7"/>
  <c r="F3" i="2"/>
  <c r="H3" i="2"/>
  <c r="B254" i="3"/>
  <c r="D254" i="3" s="1"/>
  <c r="B255" i="3"/>
  <c r="B256" i="3"/>
  <c r="B257" i="3"/>
  <c r="B253" i="3"/>
  <c r="N61" i="7" l="1"/>
  <c r="D74" i="7"/>
  <c r="D79" i="7"/>
  <c r="M58" i="7"/>
  <c r="Y61" i="7"/>
  <c r="L52" i="7"/>
  <c r="U61" i="7"/>
  <c r="AA52" i="7"/>
  <c r="D90" i="7" s="1"/>
  <c r="O55" i="7"/>
  <c r="W55" i="7"/>
  <c r="X52" i="7"/>
  <c r="D87" i="7" s="1"/>
  <c r="M55" i="7"/>
  <c r="N55" i="7"/>
  <c r="N58" i="7"/>
  <c r="O61" i="7"/>
  <c r="AD55" i="7"/>
  <c r="AE61" i="7"/>
  <c r="L55" i="7"/>
  <c r="Z55" i="7"/>
  <c r="G58" i="7"/>
  <c r="X55" i="7"/>
  <c r="L61" i="7"/>
  <c r="E79" i="7"/>
  <c r="E74" i="7"/>
  <c r="Q55" i="7"/>
  <c r="R58" i="7"/>
  <c r="S61" i="7"/>
  <c r="AG55" i="7"/>
  <c r="E58" i="7"/>
  <c r="AB55" i="7"/>
  <c r="D58" i="7"/>
  <c r="Q58" i="7"/>
  <c r="V61" i="7"/>
  <c r="E55" i="7"/>
  <c r="W61" i="7"/>
  <c r="H55" i="7"/>
  <c r="S58" i="7"/>
  <c r="AF55" i="7"/>
  <c r="X61" i="7"/>
  <c r="Y55" i="7"/>
  <c r="AE58" i="7"/>
  <c r="L58" i="7"/>
  <c r="M61" i="7"/>
  <c r="Q61" i="7"/>
  <c r="AD58" i="7"/>
  <c r="I55" i="7"/>
  <c r="AG61" i="7"/>
  <c r="U55" i="7"/>
  <c r="O58" i="7"/>
  <c r="T58" i="7"/>
  <c r="AA58" i="7"/>
  <c r="J61" i="7"/>
  <c r="Y58" i="7"/>
  <c r="AG58" i="7"/>
  <c r="G61" i="7"/>
  <c r="AC58" i="7"/>
  <c r="G55" i="7"/>
  <c r="R61" i="7"/>
  <c r="AD61" i="7"/>
  <c r="S55" i="7"/>
  <c r="T61" i="7"/>
  <c r="Z61" i="7"/>
  <c r="D55" i="7"/>
  <c r="D61" i="7"/>
  <c r="E61" i="7"/>
  <c r="H58" i="7"/>
  <c r="T55" i="7"/>
  <c r="AE55" i="7"/>
  <c r="J55" i="7"/>
  <c r="U58" i="7"/>
  <c r="R55" i="7"/>
  <c r="W58" i="7"/>
  <c r="F61" i="7"/>
  <c r="AC61" i="7"/>
  <c r="V55" i="7"/>
  <c r="AB58" i="7"/>
  <c r="F55" i="7"/>
  <c r="X58" i="7"/>
  <c r="AC55" i="7"/>
  <c r="AA61" i="7"/>
  <c r="E52" i="7"/>
  <c r="Q52" i="7"/>
  <c r="D80" i="7" s="1"/>
  <c r="H61" i="7"/>
  <c r="I58" i="7"/>
  <c r="J58" i="7"/>
  <c r="D73" i="7" s="1"/>
  <c r="F58" i="7"/>
  <c r="AA55" i="7"/>
  <c r="Z58" i="7"/>
  <c r="AF61" i="7"/>
  <c r="AB61" i="7"/>
  <c r="I61" i="7"/>
  <c r="AF58" i="7"/>
  <c r="V58" i="7"/>
  <c r="O52" i="7"/>
  <c r="G52" i="7"/>
  <c r="D70" i="7" s="1"/>
  <c r="M52" i="7"/>
  <c r="D76" i="7" s="1"/>
  <c r="T52" i="7"/>
  <c r="D83" i="7" s="1"/>
  <c r="N52" i="7"/>
  <c r="F52" i="7"/>
  <c r="R52" i="7"/>
  <c r="Z52" i="7"/>
  <c r="AD52" i="7"/>
  <c r="D93" i="7" s="1"/>
  <c r="AB52" i="7"/>
  <c r="D91" i="7" s="1"/>
  <c r="I52" i="7"/>
  <c r="AG52" i="7"/>
  <c r="D96" i="7" s="1"/>
  <c r="AF52" i="7"/>
  <c r="D95" i="7" s="1"/>
  <c r="V52" i="7"/>
  <c r="D85" i="7" s="1"/>
  <c r="Y52" i="7"/>
  <c r="D88" i="7" s="1"/>
  <c r="H52" i="7"/>
  <c r="D71" i="7" s="1"/>
  <c r="W52" i="7"/>
  <c r="U52" i="7"/>
  <c r="AE52" i="7"/>
  <c r="S52" i="7"/>
  <c r="AC52" i="7"/>
  <c r="D52" i="7"/>
  <c r="D67" i="7" s="1"/>
  <c r="F74" i="7" l="1"/>
  <c r="F79" i="7"/>
  <c r="D89" i="7"/>
  <c r="D92" i="7"/>
  <c r="D94" i="7"/>
  <c r="D68" i="7"/>
  <c r="D69" i="7"/>
  <c r="D81" i="7"/>
  <c r="D77" i="7"/>
  <c r="E73" i="7"/>
  <c r="F73" i="7" s="1"/>
  <c r="D75" i="7"/>
  <c r="D82" i="7"/>
  <c r="D72" i="7"/>
  <c r="D84" i="7"/>
  <c r="D78" i="7"/>
  <c r="D86" i="7"/>
  <c r="E90" i="7"/>
  <c r="F90" i="7" s="1"/>
  <c r="E75" i="7"/>
  <c r="E83" i="7"/>
  <c r="F83" i="7" s="1"/>
  <c r="E87" i="7"/>
  <c r="F87" i="7" s="1"/>
  <c r="E91" i="7"/>
  <c r="F91" i="7" s="1"/>
  <c r="E69" i="7"/>
  <c r="E85" i="7"/>
  <c r="F85" i="7" s="1"/>
  <c r="E92" i="7"/>
  <c r="E80" i="7"/>
  <c r="F80" i="7" s="1"/>
  <c r="E95" i="7"/>
  <c r="F95" i="7" s="1"/>
  <c r="E84" i="7"/>
  <c r="E96" i="7"/>
  <c r="F96" i="7" s="1"/>
  <c r="E77" i="7"/>
  <c r="E94" i="7"/>
  <c r="E72" i="7"/>
  <c r="E82" i="7"/>
  <c r="E70" i="7"/>
  <c r="F70" i="7" s="1"/>
  <c r="E86" i="7"/>
  <c r="E71" i="7"/>
  <c r="F71" i="7" s="1"/>
  <c r="E78" i="7"/>
  <c r="E93" i="7"/>
  <c r="F93" i="7" s="1"/>
  <c r="E67" i="7"/>
  <c r="F67" i="7" s="1"/>
  <c r="E88" i="7"/>
  <c r="F88" i="7" s="1"/>
  <c r="E81" i="7"/>
  <c r="E68" i="7"/>
  <c r="E76" i="7"/>
  <c r="F76" i="7" s="1"/>
  <c r="E89" i="7"/>
  <c r="F89" i="7" s="1"/>
  <c r="F94" i="7" l="1"/>
  <c r="F92" i="7"/>
  <c r="F68" i="7"/>
  <c r="F7" i="6" s="1"/>
  <c r="K18" i="13" s="1"/>
  <c r="F69" i="7"/>
  <c r="F81" i="7"/>
  <c r="F84" i="7"/>
  <c r="F82" i="7"/>
  <c r="F75" i="7"/>
  <c r="F72" i="7"/>
  <c r="F77" i="7"/>
  <c r="F78" i="7"/>
  <c r="F86" i="7"/>
  <c r="E7" i="6"/>
  <c r="J18" i="13" s="1"/>
  <c r="E6" i="6"/>
  <c r="J15" i="13" s="1"/>
  <c r="E5" i="6"/>
  <c r="E4" i="6"/>
  <c r="F4" i="6"/>
  <c r="D8" i="2"/>
  <c r="D10" i="2"/>
  <c r="F5" i="6" l="1"/>
  <c r="F6" i="6"/>
  <c r="K15" i="13" s="1"/>
  <c r="H8" i="2"/>
  <c r="F8" i="2"/>
  <c r="H7" i="2"/>
  <c r="F6" i="2"/>
  <c r="D20" i="2"/>
  <c r="H20" i="2" s="1"/>
  <c r="D19" i="2"/>
  <c r="F19" i="2" s="1"/>
  <c r="D18" i="2"/>
  <c r="H18" i="2" s="1"/>
  <c r="H14" i="2"/>
  <c r="F12" i="2"/>
  <c r="H9" i="2"/>
  <c r="D25" i="2"/>
  <c r="H25" i="2" s="1"/>
  <c r="C3" i="2"/>
  <c r="C3" i="5" s="1"/>
  <c r="S3" i="5" s="1"/>
  <c r="A6" i="6"/>
  <c r="A4" i="6"/>
  <c r="E240" i="3"/>
  <c r="E241" i="3"/>
  <c r="E239" i="3"/>
  <c r="P35" i="5"/>
  <c r="O29" i="5"/>
  <c r="O26" i="5"/>
  <c r="V15" i="5"/>
  <c r="V16" i="5"/>
  <c r="V14" i="5"/>
  <c r="Q15" i="5"/>
  <c r="Q16" i="5"/>
  <c r="Q14" i="5"/>
  <c r="AW10" i="5"/>
  <c r="AS10" i="5"/>
  <c r="AO10" i="5"/>
  <c r="AK10" i="5"/>
  <c r="AC10" i="5"/>
  <c r="V12" i="5"/>
  <c r="O12" i="5"/>
  <c r="V10" i="5"/>
  <c r="S10" i="5"/>
  <c r="O10" i="5"/>
  <c r="AB8" i="5"/>
  <c r="W8" i="5"/>
  <c r="S8" i="5"/>
  <c r="P8" i="5"/>
  <c r="T6" i="5"/>
  <c r="AE3" i="5"/>
  <c r="D27" i="2"/>
  <c r="F27" i="2" s="1"/>
  <c r="S4" i="5"/>
  <c r="S2" i="5"/>
  <c r="S1" i="5"/>
  <c r="C21" i="2"/>
  <c r="G21" i="2" s="1"/>
  <c r="G16" i="2"/>
  <c r="E16" i="2"/>
  <c r="D16" i="2"/>
  <c r="G15" i="2"/>
  <c r="E15" i="2"/>
  <c r="D15" i="2"/>
  <c r="D11" i="2"/>
  <c r="J3" i="2"/>
  <c r="D22" i="2" s="1"/>
  <c r="I3" i="2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20" i="1"/>
  <c r="B5" i="3"/>
  <c r="D4" i="3"/>
  <c r="C4" i="3"/>
  <c r="D5" i="3"/>
  <c r="C5" i="3"/>
  <c r="E7" i="2"/>
  <c r="F7" i="2" s="1"/>
  <c r="C105" i="1"/>
  <c r="C106" i="1"/>
  <c r="D104" i="1"/>
  <c r="F88" i="1"/>
  <c r="F89" i="1"/>
  <c r="F90" i="1"/>
  <c r="F91" i="1"/>
  <c r="F92" i="1"/>
  <c r="F93" i="1"/>
  <c r="F94" i="1"/>
  <c r="F95" i="1"/>
  <c r="F96" i="1"/>
  <c r="F97" i="1"/>
  <c r="F98" i="1"/>
  <c r="F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87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3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20" i="1"/>
  <c r="B22" i="1"/>
  <c r="B23" i="1"/>
  <c r="B24" i="1"/>
  <c r="B25" i="1"/>
  <c r="B26" i="1"/>
  <c r="B27" i="1"/>
  <c r="B28" i="1"/>
  <c r="B29" i="1"/>
  <c r="B30" i="1"/>
  <c r="B31" i="1"/>
  <c r="B32" i="1"/>
  <c r="B33" i="1"/>
  <c r="B21" i="1"/>
  <c r="H16" i="2" l="1"/>
  <c r="F16" i="2"/>
  <c r="H14" i="7"/>
  <c r="D11" i="7"/>
  <c r="F11" i="7"/>
  <c r="H15" i="2"/>
  <c r="F15" i="2"/>
  <c r="C8" i="5"/>
  <c r="D8" i="5" s="1"/>
  <c r="D6" i="2"/>
  <c r="H6" i="2"/>
  <c r="H10" i="2"/>
  <c r="B3" i="2"/>
  <c r="J12" i="7"/>
  <c r="F25" i="2"/>
  <c r="C12" i="7"/>
  <c r="J15" i="7"/>
  <c r="I12" i="7"/>
  <c r="F12" i="7"/>
  <c r="H19" i="2"/>
  <c r="H17" i="2" s="1"/>
  <c r="G12" i="7"/>
  <c r="E12" i="7"/>
  <c r="C15" i="7"/>
  <c r="C14" i="7"/>
  <c r="C11" i="7"/>
  <c r="F14" i="7"/>
  <c r="I15" i="7"/>
  <c r="I14" i="7"/>
  <c r="H15" i="7"/>
  <c r="J14" i="7"/>
  <c r="J11" i="7"/>
  <c r="C10" i="5"/>
  <c r="D10" i="5" s="1"/>
  <c r="F20" i="2"/>
  <c r="H12" i="2"/>
  <c r="E21" i="2"/>
  <c r="D21" i="2"/>
  <c r="H21" i="2"/>
  <c r="F21" i="2"/>
  <c r="H27" i="2"/>
  <c r="E15" i="7"/>
  <c r="E11" i="7"/>
  <c r="E14" i="7"/>
  <c r="D12" i="7"/>
  <c r="D15" i="7"/>
  <c r="H12" i="7"/>
  <c r="F18" i="2"/>
  <c r="G15" i="7"/>
  <c r="I11" i="7"/>
  <c r="G14" i="7"/>
  <c r="H11" i="7"/>
  <c r="F15" i="7"/>
  <c r="G11" i="7"/>
  <c r="D14" i="7"/>
  <c r="D17" i="2"/>
  <c r="F11" i="2"/>
  <c r="C13" i="5"/>
  <c r="D13" i="5" s="1"/>
  <c r="F9" i="2"/>
  <c r="F22" i="2"/>
  <c r="C16" i="5"/>
  <c r="D16" i="5" s="1"/>
  <c r="H22" i="2"/>
  <c r="D32" i="2"/>
  <c r="D30" i="2"/>
  <c r="C14" i="13" s="1"/>
  <c r="D14" i="13" s="1"/>
  <c r="H11" i="2"/>
  <c r="D24" i="2" l="1"/>
  <c r="D26" i="2" s="1"/>
  <c r="H24" i="2"/>
  <c r="D16" i="7"/>
  <c r="H16" i="7"/>
  <c r="J13" i="7"/>
  <c r="J16" i="7"/>
  <c r="F13" i="7"/>
  <c r="E13" i="7"/>
  <c r="I16" i="7"/>
  <c r="G13" i="7"/>
  <c r="I13" i="7"/>
  <c r="F16" i="7"/>
  <c r="F17" i="2"/>
  <c r="E16" i="7"/>
  <c r="G16" i="7"/>
  <c r="H13" i="7"/>
  <c r="D13" i="7"/>
  <c r="F10" i="2"/>
  <c r="C17" i="5"/>
  <c r="D17" i="5" s="1"/>
  <c r="C14" i="5"/>
  <c r="D14" i="5" s="1"/>
  <c r="D17" i="7" l="1"/>
  <c r="F24" i="2"/>
  <c r="F28" i="2" s="1"/>
  <c r="F248" i="3" s="1"/>
  <c r="H17" i="7"/>
  <c r="J17" i="7"/>
  <c r="D33" i="2"/>
  <c r="D31" i="2"/>
  <c r="C15" i="13" s="1"/>
  <c r="D15" i="13" s="1"/>
  <c r="E17" i="7"/>
  <c r="H28" i="2"/>
  <c r="H248" i="3" s="1"/>
  <c r="H26" i="2"/>
  <c r="H247" i="3" s="1"/>
  <c r="F17" i="7"/>
  <c r="G17" i="7"/>
  <c r="I17" i="7"/>
  <c r="D28" i="2"/>
  <c r="C7" i="5"/>
  <c r="D7" i="5" s="1"/>
  <c r="C9" i="5"/>
  <c r="D4" i="6" s="1"/>
  <c r="L64" i="7" s="1"/>
  <c r="D247" i="3"/>
  <c r="F26" i="2" l="1"/>
  <c r="F247" i="3" s="1"/>
  <c r="J64" i="7"/>
  <c r="K64" i="7"/>
  <c r="C18" i="5"/>
  <c r="D7" i="6" s="1"/>
  <c r="L75" i="7" s="1"/>
  <c r="J28" i="2"/>
  <c r="H32" i="2"/>
  <c r="H33" i="2" s="1"/>
  <c r="H250" i="3" s="1"/>
  <c r="D250" i="3"/>
  <c r="F32" i="2"/>
  <c r="F33" i="2" s="1"/>
  <c r="F250" i="3" s="1"/>
  <c r="H30" i="2"/>
  <c r="H31" i="2" s="1"/>
  <c r="H249" i="3" s="1"/>
  <c r="D249" i="3"/>
  <c r="F30" i="2"/>
  <c r="F31" i="2" s="1"/>
  <c r="F249" i="3" s="1"/>
  <c r="C15" i="5"/>
  <c r="K11" i="5"/>
  <c r="J26" i="2"/>
  <c r="D248" i="3"/>
  <c r="C11" i="5"/>
  <c r="I28" i="2"/>
  <c r="E11" i="5" s="1"/>
  <c r="F11" i="5" s="1"/>
  <c r="J11" i="5"/>
  <c r="J9" i="5"/>
  <c r="O41" i="5" s="1"/>
  <c r="K9" i="5"/>
  <c r="R41" i="5" s="1"/>
  <c r="D9" i="5"/>
  <c r="I26" i="2" l="1"/>
  <c r="I247" i="3" s="1"/>
  <c r="D6" i="6"/>
  <c r="L72" i="7" s="1"/>
  <c r="D11" i="5"/>
  <c r="D5" i="6"/>
  <c r="L68" i="7" s="1"/>
  <c r="K65" i="7"/>
  <c r="K66" i="7"/>
  <c r="K75" i="7"/>
  <c r="K76" i="7" s="1"/>
  <c r="J75" i="7"/>
  <c r="J76" i="7" s="1"/>
  <c r="J66" i="7"/>
  <c r="J65" i="7"/>
  <c r="G11" i="5"/>
  <c r="H11" i="5" s="1"/>
  <c r="D18" i="5"/>
  <c r="I33" i="2"/>
  <c r="J33" i="2"/>
  <c r="J248" i="3"/>
  <c r="K15" i="5"/>
  <c r="J15" i="5"/>
  <c r="J31" i="2"/>
  <c r="G15" i="13" s="1"/>
  <c r="H15" i="13" s="1"/>
  <c r="D15" i="5"/>
  <c r="I31" i="2"/>
  <c r="E15" i="13" s="1"/>
  <c r="F15" i="13" s="1"/>
  <c r="J247" i="3"/>
  <c r="G9" i="5"/>
  <c r="H9" i="5" s="1"/>
  <c r="I248" i="3"/>
  <c r="I19" i="7"/>
  <c r="F19" i="7"/>
  <c r="H19" i="7"/>
  <c r="G19" i="7"/>
  <c r="H22" i="7"/>
  <c r="G22" i="7"/>
  <c r="I22" i="7"/>
  <c r="F22" i="7"/>
  <c r="E9" i="5" l="1"/>
  <c r="F9" i="5" s="1"/>
  <c r="G21" i="7"/>
  <c r="F20" i="7"/>
  <c r="H21" i="7"/>
  <c r="F21" i="7"/>
  <c r="K68" i="7"/>
  <c r="J68" i="7"/>
  <c r="L76" i="7"/>
  <c r="G7" i="6" s="1"/>
  <c r="M18" i="13" s="1"/>
  <c r="L65" i="7"/>
  <c r="H4" i="6" s="1"/>
  <c r="K72" i="7"/>
  <c r="K73" i="7" s="1"/>
  <c r="J72" i="7"/>
  <c r="J73" i="7" s="1"/>
  <c r="L66" i="7"/>
  <c r="G4" i="6" s="1"/>
  <c r="M9" i="5" s="1"/>
  <c r="AK41" i="5" s="1"/>
  <c r="I21" i="7"/>
  <c r="E18" i="5"/>
  <c r="F18" i="5" s="1"/>
  <c r="J250" i="3"/>
  <c r="I250" i="3"/>
  <c r="G15" i="5"/>
  <c r="H15" i="5" s="1"/>
  <c r="G18" i="5"/>
  <c r="H18" i="5" s="1"/>
  <c r="I249" i="3"/>
  <c r="J249" i="3"/>
  <c r="E15" i="5"/>
  <c r="F15" i="5" s="1"/>
  <c r="I20" i="7"/>
  <c r="G20" i="7"/>
  <c r="H20" i="7"/>
  <c r="K18" i="5"/>
  <c r="J18" i="5"/>
  <c r="J69" i="7" l="1"/>
  <c r="J70" i="7"/>
  <c r="L73" i="7"/>
  <c r="G6" i="6" s="1"/>
  <c r="M15" i="13" s="1"/>
  <c r="K69" i="7"/>
  <c r="K70" i="7"/>
  <c r="M18" i="5"/>
  <c r="AK47" i="5" s="1"/>
  <c r="L70" i="7" l="1"/>
  <c r="G5" i="6" s="1"/>
  <c r="M11" i="5" s="1"/>
  <c r="AK43" i="5" s="1"/>
  <c r="L69" i="7"/>
  <c r="H5" i="6" s="1"/>
  <c r="L11" i="5" s="1"/>
  <c r="AH43" i="5" s="1"/>
  <c r="M15" i="5"/>
  <c r="AK45" i="5" s="1"/>
  <c r="L9" i="5"/>
  <c r="AH41" i="5" s="1"/>
</calcChain>
</file>

<file path=xl/sharedStrings.xml><?xml version="1.0" encoding="utf-8"?>
<sst xmlns="http://schemas.openxmlformats.org/spreadsheetml/2006/main" count="2005" uniqueCount="807">
  <si>
    <t>Figure 6-1</t>
  </si>
  <si>
    <t>Figure 6-2</t>
  </si>
  <si>
    <t>Figure 6-14</t>
  </si>
  <si>
    <t>Lateral Arms</t>
  </si>
  <si>
    <t>Item</t>
  </si>
  <si>
    <t>But Line (Arm)
(mm)</t>
  </si>
  <si>
    <t>Pilot</t>
  </si>
  <si>
    <t>Copilot</t>
  </si>
  <si>
    <t>Passengers</t>
  </si>
  <si>
    <t>Baggage</t>
  </si>
  <si>
    <t>Engine Oil</t>
  </si>
  <si>
    <t>Trans. Oil</t>
  </si>
  <si>
    <t>Doors Open or Removed</t>
  </si>
  <si>
    <t>Door Configuration</t>
  </si>
  <si>
    <t>Weight Change (kg)</t>
  </si>
  <si>
    <t>Arm (mm)</t>
  </si>
  <si>
    <t>Moment Change (kg mm)</t>
  </si>
  <si>
    <t>Right sliding door rmvd</t>
  </si>
  <si>
    <t>Left sliding door rmvd</t>
  </si>
  <si>
    <t>Right sliding door open</t>
  </si>
  <si>
    <t>Left sliding door open</t>
  </si>
  <si>
    <t>Longitudinal Moments</t>
  </si>
  <si>
    <t>Pilots and Passengers</t>
  </si>
  <si>
    <t>Weight (kg)</t>
  </si>
  <si>
    <t>Pilot/Copilot
(Arm 1585) Moment
(kg mm)</t>
  </si>
  <si>
    <t>Passengers 3 Places Central Seat Aft Facing (Arm 2455) Moment (kg mm)</t>
  </si>
  <si>
    <t>Passengers 3 Places Aft Seat
(Arm 3200) Moment (kg mm)</t>
  </si>
  <si>
    <t>Usable Fuel - Main Fuel Tank (for JP5/JET A/JET A-1)</t>
  </si>
  <si>
    <t>Capacity I
(0.8 kg/l)</t>
  </si>
  <si>
    <t>Moment (kg mm)</t>
  </si>
  <si>
    <t>Unusable Fuel for (JP5/JET A/ JET A-1)</t>
  </si>
  <si>
    <t>I
(0.8 kg/l)</t>
  </si>
  <si>
    <t>Engine Oil (Arm 4673)</t>
  </si>
  <si>
    <t>Liter (l)</t>
  </si>
  <si>
    <t>Undrainalbe Engine Oil (Arm 4673)</t>
  </si>
  <si>
    <t>Main Transmission Oil (Arm 3355)</t>
  </si>
  <si>
    <t>Lateral Moments</t>
  </si>
  <si>
    <t>Baggage Moment (Max 150 kg &amp; 734000 kg mm)</t>
  </si>
  <si>
    <t>Zone 1 Arm 4880</t>
  </si>
  <si>
    <t>Zone 2 Arm 5240</t>
  </si>
  <si>
    <t>Zone 3 Arm 5560</t>
  </si>
  <si>
    <t>Zone 4 Arm 5960</t>
  </si>
  <si>
    <t>Zone 5 6430</t>
  </si>
  <si>
    <t>Baggage Load
(kg)</t>
  </si>
  <si>
    <t>Baggage Moment (kg mm)</t>
  </si>
  <si>
    <t>CHART E - WEIGHT &amp; BALANCE COMPUTATION FORM</t>
  </si>
  <si>
    <t>MODEL</t>
  </si>
  <si>
    <t>S/N</t>
  </si>
  <si>
    <t>REGISTRATION MARKS</t>
  </si>
  <si>
    <t>DATE</t>
  </si>
  <si>
    <t>PLACE</t>
  </si>
  <si>
    <t>Ref.</t>
  </si>
  <si>
    <t>ITEM</t>
  </si>
  <si>
    <t>WEIGHT</t>
  </si>
  <si>
    <t>(KG)</t>
  </si>
  <si>
    <t>STA</t>
  </si>
  <si>
    <t>(MM)</t>
  </si>
  <si>
    <t>LONG. MOMENT</t>
  </si>
  <si>
    <t>COMPUTED
BY</t>
  </si>
  <si>
    <t>(Kg mm)</t>
  </si>
  <si>
    <t>BL</t>
  </si>
  <si>
    <t>(mm)</t>
  </si>
  <si>
    <t>LAT.Moment</t>
  </si>
  <si>
    <t>Helicopter Basic
(Ref. to Chart C)</t>
  </si>
  <si>
    <t>LOOSE EQUIPMENT LOAD</t>
  </si>
  <si>
    <t>CABIN LOAD</t>
  </si>
  <si>
    <t>BAGGAGE COMPARTMENT LOAD</t>
  </si>
  <si>
    <t>ZONE 1</t>
  </si>
  <si>
    <t>ZONE 2</t>
  </si>
  <si>
    <t>ZONE 3</t>
  </si>
  <si>
    <t>DRY WEIGHT</t>
  </si>
  <si>
    <t>BALLAST (if required)</t>
  </si>
  <si>
    <t>GROSS WEIGHT
(at Take-off)</t>
  </si>
  <si>
    <t>GROSS WEIGHT
(at Landing)</t>
  </si>
  <si>
    <t>Longitudinal Arm (mm)</t>
  </si>
  <si>
    <t>Center (Lt)</t>
  </si>
  <si>
    <t>Center (Md)</t>
  </si>
  <si>
    <t>Center (Rt)</t>
  </si>
  <si>
    <t>Aft (Lt)</t>
  </si>
  <si>
    <t>Aft (Md)</t>
  </si>
  <si>
    <t>Aft (Rt)</t>
  </si>
  <si>
    <t>DOORS:</t>
  </si>
  <si>
    <t>Status</t>
  </si>
  <si>
    <t>Sliding Doors:</t>
  </si>
  <si>
    <t>ON/OPEN</t>
  </si>
  <si>
    <t>ON/CLOSED</t>
  </si>
  <si>
    <t>STA (MM)</t>
  </si>
  <si>
    <t>LONG. MOM (kg mm)</t>
  </si>
  <si>
    <t>BL (mm)</t>
  </si>
  <si>
    <t>REMOVED</t>
  </si>
  <si>
    <t>USABLE FUEL (at Take-off)</t>
  </si>
  <si>
    <t>USABLE FUEL (at Landing)</t>
  </si>
  <si>
    <t>LONG. CG</t>
  </si>
  <si>
    <t>LAT. CG</t>
  </si>
  <si>
    <t>Weight and Longitudinal CG Envelope</t>
  </si>
  <si>
    <t>Imperial</t>
  </si>
  <si>
    <t>Gross Weight (lbs)</t>
  </si>
  <si>
    <t>Longitudinal Station (in.)</t>
  </si>
  <si>
    <t>Metric</t>
  </si>
  <si>
    <t>Gross Weight (kg)</t>
  </si>
  <si>
    <t>Longitudinal Station (kg mm)</t>
  </si>
  <si>
    <t>Weight and Lateral CG Envelope</t>
  </si>
  <si>
    <t>Lateral Station (in.)</t>
  </si>
  <si>
    <t>Lateral Station (kg mm)</t>
  </si>
  <si>
    <t>MISSION GROSS WEIGHT
(Cargo Hook Ops)</t>
  </si>
  <si>
    <t>Operator's Seat
(Arm 2741) Moment (kg mm)</t>
  </si>
  <si>
    <t>Weight and Lateral CG Envelope (Hoist Operations)</t>
  </si>
  <si>
    <t>Weight and Longitudinal CG Envelope (Cargo Hook Operations)</t>
  </si>
  <si>
    <t>Weight and Lateral CG Envelope (Cargo Hook Operations)</t>
  </si>
  <si>
    <t>MISSION GROSS WEIGHT
(Hoist Ops)</t>
  </si>
  <si>
    <t>HOIST OPS (Y/N)</t>
  </si>
  <si>
    <t>HOOK OPS (Y/N)</t>
  </si>
  <si>
    <t>YES</t>
  </si>
  <si>
    <t>NO</t>
  </si>
  <si>
    <t>HOIST LOAD</t>
  </si>
  <si>
    <t>TH-73</t>
  </si>
  <si>
    <t>Aircraft</t>
  </si>
  <si>
    <t>Side</t>
  </si>
  <si>
    <t>BuNo</t>
  </si>
  <si>
    <t>KNDZ</t>
  </si>
  <si>
    <t>Long Mom. (Kg mm)</t>
  </si>
  <si>
    <t>Lat Mom. (Kg mm)</t>
  </si>
  <si>
    <t>WEATHER</t>
  </si>
  <si>
    <t>TIMELINE</t>
  </si>
  <si>
    <t>Observation Time:</t>
  </si>
  <si>
    <t>DEBRIEF</t>
  </si>
  <si>
    <t>Winds:</t>
  </si>
  <si>
    <t>Vis:</t>
  </si>
  <si>
    <t>Clouds:</t>
  </si>
  <si>
    <t>Max Temp:</t>
  </si>
  <si>
    <t>Temp:</t>
  </si>
  <si>
    <t>Dew Point:</t>
  </si>
  <si>
    <t>Altimeter:</t>
  </si>
  <si>
    <t>Frz Level:</t>
  </si>
  <si>
    <t>dir / speed</t>
  </si>
  <si>
    <t>local time</t>
  </si>
  <si>
    <t>smi</t>
  </si>
  <si>
    <t>°C</t>
  </si>
  <si>
    <t>°F</t>
  </si>
  <si>
    <t>ft</t>
  </si>
  <si>
    <t>PA:</t>
  </si>
  <si>
    <t>Max PA:</t>
  </si>
  <si>
    <t>DA:</t>
  </si>
  <si>
    <t>Max DA:</t>
  </si>
  <si>
    <t>&lt;-TIME    FCST-&gt;</t>
  </si>
  <si>
    <t>WEIGHT &amp; BALANCE</t>
  </si>
  <si>
    <t>SPOT:</t>
  </si>
  <si>
    <t>Forecast Line 1:</t>
  </si>
  <si>
    <t>Forecast Line 2:</t>
  </si>
  <si>
    <t>Forecast Line 3:</t>
  </si>
  <si>
    <t>lbs</t>
  </si>
  <si>
    <t>Total Fuel</t>
  </si>
  <si>
    <t>Takeoff:</t>
  </si>
  <si>
    <t>Landing:</t>
  </si>
  <si>
    <t>Mission (Hoist Ops):</t>
  </si>
  <si>
    <t>Mission (Hook Ops):</t>
  </si>
  <si>
    <t>Equipment</t>
  </si>
  <si>
    <t>Hoist Operations?</t>
  </si>
  <si>
    <t>Cargo Hook Operations?</t>
  </si>
  <si>
    <t>Long. STA (in.)</t>
  </si>
  <si>
    <t>Lat. STA (in.)</t>
  </si>
  <si>
    <t>PIC:</t>
  </si>
  <si>
    <t>CP:</t>
  </si>
  <si>
    <t>Observer:</t>
  </si>
  <si>
    <t>1 lb=</t>
  </si>
  <si>
    <t>kg</t>
  </si>
  <si>
    <t>1 in.=</t>
  </si>
  <si>
    <t>mm</t>
  </si>
  <si>
    <t>Hoist Load:</t>
  </si>
  <si>
    <t>Cargo Hook Load:</t>
  </si>
  <si>
    <t>Loose Equipment:</t>
  </si>
  <si>
    <t>Cabin Load:</t>
  </si>
  <si>
    <t>Zone 1:</t>
  </si>
  <si>
    <t>Zone 2:</t>
  </si>
  <si>
    <t>Zone 3:</t>
  </si>
  <si>
    <t>EXT. LOAD (CARGO HOOK)</t>
  </si>
  <si>
    <t>TH-73A FLIGHT PLANNING TOOL</t>
  </si>
  <si>
    <t>Externals (If Applicable)</t>
  </si>
  <si>
    <t>ADMIN</t>
  </si>
  <si>
    <t>Date:</t>
  </si>
  <si>
    <t>Instructor/PIC:</t>
  </si>
  <si>
    <t>Mission/Event(s):</t>
  </si>
  <si>
    <t>Aircraft Side No.:</t>
  </si>
  <si>
    <t>Student/CP:</t>
  </si>
  <si>
    <t>Aircrew/Observer:</t>
  </si>
  <si>
    <t>lbs-in.</t>
  </si>
  <si>
    <t>1 lb*in.=</t>
  </si>
  <si>
    <t>kg*mm</t>
  </si>
  <si>
    <t>Other</t>
  </si>
  <si>
    <t>Heaviest</t>
  </si>
  <si>
    <t>Crew:</t>
  </si>
  <si>
    <t>A/C:</t>
  </si>
  <si>
    <t>Mission:</t>
  </si>
  <si>
    <t>Weight</t>
  </si>
  <si>
    <t>Sky</t>
  </si>
  <si>
    <t>/</t>
  </si>
  <si>
    <t>PA (ft)</t>
  </si>
  <si>
    <t>DA (ft)          (MAX)</t>
  </si>
  <si>
    <t>(</t>
  </si>
  <si>
    <t>)</t>
  </si>
  <si>
    <t>Max</t>
  </si>
  <si>
    <t>FORECAST</t>
  </si>
  <si>
    <t>WALK</t>
  </si>
  <si>
    <t>ATIS</t>
  </si>
  <si>
    <t>T/O</t>
  </si>
  <si>
    <t>CLEARANCE</t>
  </si>
  <si>
    <t>F</t>
  </si>
  <si>
    <t>R</t>
  </si>
  <si>
    <t>A</t>
  </si>
  <si>
    <t>T</t>
  </si>
  <si>
    <t>USABLE MISSION FUEL (Hoist Ops)</t>
  </si>
  <si>
    <t>USABLE MISSION FUEL (Cargo Hook Ops)</t>
  </si>
  <si>
    <t>(kg)</t>
  </si>
  <si>
    <t>(lbs)</t>
  </si>
  <si>
    <t>Long. CG</t>
  </si>
  <si>
    <t>Lat. CG</t>
  </si>
  <si>
    <t>(in.)</t>
  </si>
  <si>
    <t>Dry Weight</t>
  </si>
  <si>
    <t>Gross Takeoff</t>
  </si>
  <si>
    <t>Gross Landing</t>
  </si>
  <si>
    <t>Gross Hoist Ops</t>
  </si>
  <si>
    <t>Gross Hook Ops</t>
  </si>
  <si>
    <t>Hoist Load</t>
  </si>
  <si>
    <t>Cargo Hook Load</t>
  </si>
  <si>
    <t>Takeoff</t>
  </si>
  <si>
    <t>Cont.</t>
  </si>
  <si>
    <t>PA / Max:</t>
  </si>
  <si>
    <t>OAT / Max:</t>
  </si>
  <si>
    <t>DA / Max:</t>
  </si>
  <si>
    <t>IGE</t>
  </si>
  <si>
    <t>OGE</t>
  </si>
  <si>
    <t>Power Avail. (%)</t>
  </si>
  <si>
    <t>Power Req. (%)</t>
  </si>
  <si>
    <t>Route of Flight / Operating Area:</t>
  </si>
  <si>
    <t>NATOPS Question of the Day:</t>
  </si>
  <si>
    <t>Emergency of the Day:</t>
  </si>
  <si>
    <t>OBS TIME:</t>
  </si>
  <si>
    <t>C</t>
  </si>
  <si>
    <t>INFO:</t>
  </si>
  <si>
    <t>WIND:</t>
  </si>
  <si>
    <t>VIS:</t>
  </si>
  <si>
    <t>CEIL:</t>
  </si>
  <si>
    <t>TEMP/DP:</t>
  </si>
  <si>
    <t>ALT:</t>
  </si>
  <si>
    <t>RWY:</t>
  </si>
  <si>
    <t>POWER AVAIL (%)</t>
  </si>
  <si>
    <t>CALCULATED</t>
  </si>
  <si>
    <t>ACTUAL</t>
  </si>
  <si>
    <t>CONT</t>
  </si>
  <si>
    <t>Landing</t>
  </si>
  <si>
    <t>Hoist</t>
  </si>
  <si>
    <t>Hook</t>
  </si>
  <si>
    <t>POWER REQ (%)</t>
  </si>
  <si>
    <t>PERFORMANCE</t>
  </si>
  <si>
    <t>Takeoff Fuel*</t>
  </si>
  <si>
    <t>Landing Fuel*</t>
  </si>
  <si>
    <t>Hoist Ops Fuel*</t>
  </si>
  <si>
    <t>Hook Ops Fuel*</t>
  </si>
  <si>
    <t>Spot:</t>
  </si>
  <si>
    <t>L</t>
  </si>
  <si>
    <t>Wind (kts)</t>
  </si>
  <si>
    <t>Altimeter (in. Hg)</t>
  </si>
  <si>
    <t>100 ft</t>
  </si>
  <si>
    <t>SST (°F)</t>
  </si>
  <si>
    <t>OAT / DP (°C)</t>
  </si>
  <si>
    <t>in. Hg</t>
  </si>
  <si>
    <t>PLAN</t>
  </si>
  <si>
    <t>Walk:</t>
  </si>
  <si>
    <t>Hotseat:</t>
  </si>
  <si>
    <t>Land:</t>
  </si>
  <si>
    <t>Debrief:</t>
  </si>
  <si>
    <t>Notes:</t>
  </si>
  <si>
    <t>(1) Usable fuel is fuel load minus 8 kg, which is already included in base helicopter weight.</t>
  </si>
  <si>
    <t>(3) Max cargo hook weight 1400 kg (3086 lb) [≤ 9k ft]; dec max load 50 kg (110 lb) every 1,000 ft above 9,000 ft</t>
  </si>
  <si>
    <t>(5) Use heaviest planned on-station fuel load for "MISSION FUEL"</t>
  </si>
  <si>
    <t>(6) Hoist operator, hoist load, and external load weights are omitted from "Take-off" and "Landing" calculations.</t>
  </si>
  <si>
    <t>NOTES</t>
  </si>
  <si>
    <t>*Note:  Fuel mass shown is "indicated" (includes both usable and unusable). Unusable fuel (17 lbs / 8 kg) is included in "dry weight."</t>
  </si>
  <si>
    <t>LAT MOM
(kg mm)</t>
  </si>
  <si>
    <t>1 kg =</t>
  </si>
  <si>
    <t>1 mm =</t>
  </si>
  <si>
    <t>1 kg*mm =</t>
  </si>
  <si>
    <t>lb</t>
  </si>
  <si>
    <t>in.</t>
  </si>
  <si>
    <t>lb*in.</t>
  </si>
  <si>
    <t>(LBS)</t>
  </si>
  <si>
    <t>(Lb*in.)</t>
  </si>
  <si>
    <t>Cabin Doors:</t>
  </si>
  <si>
    <t>TH-73A</t>
  </si>
  <si>
    <t>**Password:</t>
  </si>
  <si>
    <t>Steps:</t>
  </si>
  <si>
    <t>1)</t>
  </si>
  <si>
    <t>Complete the "Start Here" TAB with all required/available information</t>
  </si>
  <si>
    <t>2)</t>
  </si>
  <si>
    <t>Review the Chart E W&amp;B Form for accuracy and compliance with airframe limits</t>
  </si>
  <si>
    <t>3)</t>
  </si>
  <si>
    <t>Complete performance calculations</t>
  </si>
  <si>
    <t>4)</t>
  </si>
  <si>
    <t>Review "Kneeboard Cards" TAB and enter performance calculations, questions of the day, and other information, as desired</t>
  </si>
  <si>
    <t>5)</t>
  </si>
  <si>
    <t>Sea State Temp:</t>
  </si>
  <si>
    <t>Lat. Moment:</t>
  </si>
  <si>
    <t>Side No.:</t>
  </si>
  <si>
    <t>BuNo.:</t>
  </si>
  <si>
    <t>Helicopter Basic Weight:</t>
  </si>
  <si>
    <t>Long. Moment:</t>
  </si>
  <si>
    <t>Aircraft ("Side No.:  Other" selected)</t>
  </si>
  <si>
    <t>(2) Max hoist operator weight is 227 kg (500 lb); max hoist load is 204 kg (450 lb)</t>
  </si>
  <si>
    <t>HS | LAND</t>
  </si>
  <si>
    <t xml:space="preserve"> ACTUAL (FUEL)</t>
  </si>
  <si>
    <t>Max Temp</t>
  </si>
  <si>
    <t>Max PA</t>
  </si>
  <si>
    <t>MCP</t>
  </si>
  <si>
    <t>TOP</t>
  </si>
  <si>
    <t>PA</t>
  </si>
  <si>
    <t>OAT</t>
  </si>
  <si>
    <t>2850 kg</t>
  </si>
  <si>
    <t>2650 kg</t>
  </si>
  <si>
    <t>2450 kg</t>
  </si>
  <si>
    <t>2250 kg</t>
  </si>
  <si>
    <t>2050 kg</t>
  </si>
  <si>
    <t>Hook Ops</t>
  </si>
  <si>
    <t>Hoist Ops</t>
  </si>
  <si>
    <t>HOGE</t>
  </si>
  <si>
    <t>HIGE</t>
  </si>
  <si>
    <t>OAT Low</t>
  </si>
  <si>
    <t>OAT High</t>
  </si>
  <si>
    <t>0 ft</t>
  </si>
  <si>
    <t>3000 ft</t>
  </si>
  <si>
    <t>OAT Max</t>
  </si>
  <si>
    <t>Chart OAT</t>
  </si>
  <si>
    <t>MAX PA/OAT</t>
  </si>
  <si>
    <t>&gt;2650</t>
  </si>
  <si>
    <t>&gt;2450</t>
  </si>
  <si>
    <t>&gt;2250</t>
  </si>
  <si>
    <t>&gt;2050</t>
  </si>
  <si>
    <t>PIC Name:</t>
  </si>
  <si>
    <t>1) Human Factors</t>
  </si>
  <si>
    <t>Sig. Issues. Unable to control</t>
  </si>
  <si>
    <t>Minimal Issues</t>
  </si>
  <si>
    <t>Issues with controls</t>
  </si>
  <si>
    <t>PIC/IP</t>
  </si>
  <si>
    <t>OBS/IUT</t>
  </si>
  <si>
    <t>LOW</t>
  </si>
  <si>
    <t>MED</t>
  </si>
  <si>
    <t>HIGH</t>
  </si>
  <si>
    <t>Mitigated</t>
  </si>
  <si>
    <t>Overall</t>
  </si>
  <si>
    <t>Risk (L/M/H)</t>
  </si>
  <si>
    <t>3) Crew Day / Crew Rest</t>
  </si>
  <si>
    <t>&lt; 5</t>
  </si>
  <si>
    <t>5 - 7</t>
  </si>
  <si>
    <t>&gt; 7</t>
  </si>
  <si>
    <t>Hours</t>
  </si>
  <si>
    <t>&lt; 12
prior to 2200</t>
  </si>
  <si>
    <t>&gt; 12 crew day
or
&lt; 12 crew rest</t>
  </si>
  <si>
    <t>4) Night Flight</t>
  </si>
  <si>
    <t>&gt; 25% illum. VMC</t>
  </si>
  <si>
    <t>Up to 25% illum.</t>
  </si>
  <si>
    <t>5) Ceiling / Visibility</t>
  </si>
  <si>
    <t>No SIGMET</t>
  </si>
  <si>
    <t>8)</t>
  </si>
  <si>
    <t>Others (TW-5 Briefing Guide)</t>
  </si>
  <si>
    <t>Weight (lb)</t>
  </si>
  <si>
    <t>Long Mom. (lb-in)</t>
  </si>
  <si>
    <t>Lat Mom. (lb-in)</t>
  </si>
  <si>
    <t>(4) C.G. assumes hoist/hook operator is in the hoist station for both hook and hoist operations and in the operator seat for non-hook/non-hoist operations</t>
  </si>
  <si>
    <t>Aft CG</t>
  </si>
  <si>
    <t>Last</t>
  </si>
  <si>
    <t>First</t>
  </si>
  <si>
    <t>Rank</t>
  </si>
  <si>
    <t>Unit</t>
  </si>
  <si>
    <t>Member Weight</t>
  </si>
  <si>
    <t>Flight Suit &amp; Boots</t>
  </si>
  <si>
    <t>Dry Vest</t>
  </si>
  <si>
    <t>Wet Vest</t>
  </si>
  <si>
    <t>LCDR</t>
  </si>
  <si>
    <t>Crew/Passengers (with gear) (PIC, CP, Obs: "Other" selected)</t>
  </si>
  <si>
    <t>Note:</t>
  </si>
  <si>
    <r>
      <t xml:space="preserve">Add </t>
    </r>
    <r>
      <rPr>
        <b/>
        <sz val="11"/>
        <color theme="1"/>
        <rFont val="times new roman"/>
        <family val="1"/>
      </rPr>
      <t>2 lbs</t>
    </r>
    <r>
      <rPr>
        <sz val="11"/>
        <color theme="1"/>
        <rFont val="times new roman"/>
        <family val="2"/>
      </rPr>
      <t xml:space="preserve"> to member weight for </t>
    </r>
    <r>
      <rPr>
        <b/>
        <sz val="11"/>
        <color theme="1"/>
        <rFont val="times new roman"/>
        <family val="1"/>
      </rPr>
      <t>flight suit and boots</t>
    </r>
  </si>
  <si>
    <r>
      <t xml:space="preserve">Add </t>
    </r>
    <r>
      <rPr>
        <b/>
        <sz val="11"/>
        <color theme="1"/>
        <rFont val="times new roman"/>
        <family val="1"/>
      </rPr>
      <t>5 lbs for dry vest</t>
    </r>
    <r>
      <rPr>
        <sz val="11"/>
        <color theme="1"/>
        <rFont val="times new roman"/>
        <family val="2"/>
      </rPr>
      <t xml:space="preserve"> OR </t>
    </r>
    <r>
      <rPr>
        <b/>
        <sz val="11"/>
        <color theme="1"/>
        <rFont val="times new roman"/>
        <family val="1"/>
      </rPr>
      <t>14 lbs for wet vest</t>
    </r>
  </si>
  <si>
    <t>Crew Weight Lookup</t>
  </si>
  <si>
    <t>Gear</t>
  </si>
  <si>
    <t>Total Weight</t>
  </si>
  <si>
    <t>Capt</t>
  </si>
  <si>
    <t>CDR</t>
  </si>
  <si>
    <t>LT</t>
  </si>
  <si>
    <t>NONE</t>
  </si>
  <si>
    <t xml:space="preserve">Julian Date: </t>
  </si>
  <si>
    <t>External C/S</t>
  </si>
  <si>
    <t>A/C</t>
  </si>
  <si>
    <t>SPOT</t>
  </si>
  <si>
    <t>C/S</t>
  </si>
  <si>
    <t>AIRCREW</t>
  </si>
  <si>
    <t>MPTS</t>
  </si>
  <si>
    <t>EVENT</t>
  </si>
  <si>
    <t>VHF</t>
  </si>
  <si>
    <t>BN</t>
  </si>
  <si>
    <t>AGENCY</t>
  </si>
  <si>
    <t>FREQ</t>
  </si>
  <si>
    <t>METRO</t>
  </si>
  <si>
    <t>BINGO</t>
  </si>
  <si>
    <t>HLL:</t>
  </si>
  <si>
    <t>LLL:</t>
  </si>
  <si>
    <t>LBS</t>
  </si>
  <si>
    <t>ATIS:</t>
  </si>
  <si>
    <t>LOC</t>
  </si>
  <si>
    <t>END Q / AS</t>
  </si>
  <si>
    <t>RNG Q / AS</t>
  </si>
  <si>
    <t>TAKEOFF</t>
  </si>
  <si>
    <t>HAROLD</t>
  </si>
  <si>
    <t>MSA /HDG</t>
  </si>
  <si>
    <t>NDZ ATIS</t>
  </si>
  <si>
    <t>NDZ GND</t>
  </si>
  <si>
    <t>NDZ TWR</t>
  </si>
  <si>
    <t>EAST CMN</t>
  </si>
  <si>
    <t>M</t>
  </si>
  <si>
    <t>INSTR CMN</t>
  </si>
  <si>
    <t>PENS APP</t>
  </si>
  <si>
    <t>FLORALA CTAF</t>
  </si>
  <si>
    <t>DEFUN CTAF</t>
  </si>
  <si>
    <t>EGLIN APP</t>
  </si>
  <si>
    <t>START UP</t>
  </si>
  <si>
    <t xml:space="preserve">CHECK IN </t>
  </si>
  <si>
    <t>TAXI</t>
  </si>
  <si>
    <t>HOT SEAT</t>
  </si>
  <si>
    <t>UHF</t>
  </si>
  <si>
    <t>119.0</t>
  </si>
  <si>
    <t>123.0</t>
  </si>
  <si>
    <t>ANDALUSIA ASOS</t>
  </si>
  <si>
    <t>ADALUSIA CTAF</t>
  </si>
  <si>
    <t>CHOCTAW ATIS</t>
  </si>
  <si>
    <t>CHOCTAW TWR</t>
  </si>
  <si>
    <t>N/A</t>
  </si>
  <si>
    <t>LND</t>
  </si>
  <si>
    <t>TAC FREQ</t>
  </si>
  <si>
    <t xml:space="preserve">EENT: </t>
  </si>
  <si>
    <t xml:space="preserve">SR: </t>
  </si>
  <si>
    <t xml:space="preserve">SS: </t>
  </si>
  <si>
    <t xml:space="preserve">MR: </t>
  </si>
  <si>
    <t xml:space="preserve">MS: </t>
  </si>
  <si>
    <t xml:space="preserve">ILLUM: </t>
  </si>
  <si>
    <t>(Location)</t>
  </si>
  <si>
    <t>External C/S:</t>
  </si>
  <si>
    <t>C / S</t>
  </si>
  <si>
    <t>TCN</t>
  </si>
  <si>
    <t>* ZUM / ROS / HOP</t>
  </si>
  <si>
    <t>29Y</t>
  </si>
  <si>
    <t>HOL / OUE / ASH</t>
  </si>
  <si>
    <t>92Y</t>
  </si>
  <si>
    <t>VHF 1</t>
  </si>
  <si>
    <t>VHF 2</t>
  </si>
  <si>
    <t>UHF 1</t>
  </si>
  <si>
    <t>UHF 2</t>
  </si>
  <si>
    <t>START/ PA CHK</t>
  </si>
  <si>
    <t>HTAC</t>
  </si>
  <si>
    <t>1, 3</t>
  </si>
  <si>
    <t>3, 4</t>
  </si>
  <si>
    <t>4, 9</t>
  </si>
  <si>
    <t>1100-1200</t>
  </si>
  <si>
    <t>WEST AREA</t>
  </si>
  <si>
    <t>1200-1300</t>
  </si>
  <si>
    <t>SITE X</t>
  </si>
  <si>
    <t>RTB</t>
  </si>
  <si>
    <t>8, 1, 4</t>
  </si>
  <si>
    <t>1300-1400</t>
  </si>
  <si>
    <t>1400-1500</t>
  </si>
  <si>
    <t>4, 3</t>
  </si>
  <si>
    <t>UHF BN</t>
  </si>
  <si>
    <t>VHF BN</t>
  </si>
  <si>
    <t>CLNC DEL</t>
  </si>
  <si>
    <t>PNS APP</t>
  </si>
  <si>
    <t>PNS APP-W</t>
  </si>
  <si>
    <t>PNS APP-E</t>
  </si>
  <si>
    <t>KPNS ATIS</t>
  </si>
  <si>
    <t>PACE ADO</t>
  </si>
  <si>
    <t>KPNS TWR</t>
  </si>
  <si>
    <t>HAROLD ADO</t>
  </si>
  <si>
    <t>KNPA ATIS</t>
  </si>
  <si>
    <t>SITE X ADO</t>
  </si>
  <si>
    <t>KNPA TWR</t>
  </si>
  <si>
    <t>GRN RTE</t>
  </si>
  <si>
    <t>1R8 AWOS</t>
  </si>
  <si>
    <t>ORNG RTE</t>
  </si>
  <si>
    <t>1R8 CTAF</t>
  </si>
  <si>
    <t>PURP RTE</t>
  </si>
  <si>
    <t>12J AWOS</t>
  </si>
  <si>
    <t>EAST FORM</t>
  </si>
  <si>
    <t>OR1 CTAF</t>
  </si>
  <si>
    <t>EAST BAY</t>
  </si>
  <si>
    <t>HELOTAC</t>
  </si>
  <si>
    <t>WEST CMN</t>
  </si>
  <si>
    <t>GLIDER 1</t>
  </si>
  <si>
    <t>GLIDER 2</t>
  </si>
  <si>
    <t>END TQ / AS</t>
  </si>
  <si>
    <t>RNG TQ / AS</t>
  </si>
  <si>
    <t>OLF</t>
  </si>
  <si>
    <t>RESPONSIBILITIES</t>
  </si>
  <si>
    <t>LD</t>
  </si>
  <si>
    <t>A / N / C (PRI)</t>
  </si>
  <si>
    <t>SECT INTEG</t>
  </si>
  <si>
    <t>BASE</t>
  </si>
  <si>
    <t>DASH-2</t>
  </si>
  <si>
    <t>A / N / C (ALT)</t>
  </si>
  <si>
    <t>SEQ EXEC</t>
  </si>
  <si>
    <t>FUEL STATE</t>
  </si>
  <si>
    <t>* DENOTES SECT LD</t>
  </si>
  <si>
    <t>4, 20</t>
  </si>
  <si>
    <t>EAST AREA</t>
  </si>
  <si>
    <t>LAKES MON</t>
  </si>
  <si>
    <t>KCEW AWOS</t>
  </si>
  <si>
    <t>KCEW CTAF</t>
  </si>
  <si>
    <t>54J AWOS</t>
  </si>
  <si>
    <t>54J CTAF</t>
  </si>
  <si>
    <t>0J4 ASOS</t>
  </si>
  <si>
    <t>0J4 CTAF</t>
  </si>
  <si>
    <t>79J ASOS</t>
  </si>
  <si>
    <t>79J CTAF</t>
  </si>
  <si>
    <t>Seat</t>
  </si>
  <si>
    <t>Pilot (Right)</t>
  </si>
  <si>
    <t>Copilot (Left)</t>
  </si>
  <si>
    <t>Cabin / Middle</t>
  </si>
  <si>
    <t>Cabin / Right</t>
  </si>
  <si>
    <t>Cabin / Left</t>
  </si>
  <si>
    <t>Crew Weight Lookup (Other)</t>
  </si>
  <si>
    <t>PILOT (Right)</t>
  </si>
  <si>
    <t>COPILOT (Left)</t>
  </si>
  <si>
    <t>CABIN (Middle)</t>
  </si>
  <si>
    <t>CABIN (Right)</t>
  </si>
  <si>
    <t>CABIN (Left)</t>
  </si>
  <si>
    <t>6283I</t>
  </si>
  <si>
    <t>6200I</t>
  </si>
  <si>
    <t>6000I</t>
  </si>
  <si>
    <t>5800I</t>
  </si>
  <si>
    <t>5600I</t>
  </si>
  <si>
    <t>5400I</t>
  </si>
  <si>
    <t>5200I</t>
  </si>
  <si>
    <t>5000I</t>
  </si>
  <si>
    <t>4800I</t>
  </si>
  <si>
    <t>4600I</t>
  </si>
  <si>
    <t>4400I</t>
  </si>
  <si>
    <t>4200I</t>
  </si>
  <si>
    <t>4000I</t>
  </si>
  <si>
    <t>3803I</t>
  </si>
  <si>
    <t>6283O</t>
  </si>
  <si>
    <t>6200O</t>
  </si>
  <si>
    <t>6000O</t>
  </si>
  <si>
    <t>5800O</t>
  </si>
  <si>
    <t>5600O</t>
  </si>
  <si>
    <t>5400O</t>
  </si>
  <si>
    <t>5200O</t>
  </si>
  <si>
    <t>5000O</t>
  </si>
  <si>
    <t>4800O</t>
  </si>
  <si>
    <t>4600O</t>
  </si>
  <si>
    <t>4400O</t>
  </si>
  <si>
    <t>4200O</t>
  </si>
  <si>
    <t>4000O</t>
  </si>
  <si>
    <t>3803O</t>
  </si>
  <si>
    <t>OAT low</t>
  </si>
  <si>
    <t>Hp Low</t>
  </si>
  <si>
    <t>Hp High</t>
  </si>
  <si>
    <t>Hp Max</t>
  </si>
  <si>
    <t>GW Low</t>
  </si>
  <si>
    <t>GW High</t>
  </si>
  <si>
    <t>GW Calculated</t>
  </si>
  <si>
    <t>Gross Weight (lb)</t>
  </si>
  <si>
    <r>
      <rPr>
        <b/>
        <u/>
        <sz val="11"/>
        <color theme="1"/>
        <rFont val="times new roman"/>
        <family val="1"/>
      </rPr>
      <t>Note</t>
    </r>
    <r>
      <rPr>
        <b/>
        <sz val="11"/>
        <color theme="1"/>
        <rFont val="times new roman"/>
        <family val="1"/>
      </rPr>
      <t>: Performance calculations assume HEATER and A/C are OFF. See NFM/PCL for associated correction factors.</t>
    </r>
  </si>
  <si>
    <t>TOP (%)</t>
  </si>
  <si>
    <t>MCP (%)</t>
  </si>
  <si>
    <t>IGE (%)</t>
  </si>
  <si>
    <t>OGE (%)</t>
  </si>
  <si>
    <t>Long. Arm (in.)</t>
  </si>
  <si>
    <t>Lat. Arm (in.)</t>
  </si>
  <si>
    <t>Long Mom. (lb-in) /100</t>
  </si>
  <si>
    <t>SNA/CP Name(s):</t>
  </si>
  <si>
    <t>CP/SNA</t>
  </si>
  <si>
    <t>No-Go</t>
  </si>
  <si>
    <t>AC/OBS</t>
  </si>
  <si>
    <t>RWOP + 500/1</t>
  </si>
  <si>
    <t>RWOP Mins</t>
  </si>
  <si>
    <t>&lt; RWOP</t>
  </si>
  <si>
    <t>7) SIGMETS/WW</t>
  </si>
  <si>
    <t>VMC in a SIGMET - Revokable by CO</t>
  </si>
  <si>
    <t>WW not progressing as forecast; w/ permission</t>
  </si>
  <si>
    <t>Currency/Cumulative Flight Time</t>
  </si>
  <si>
    <t>SNA Warm-up</t>
  </si>
  <si>
    <t>WU Eligible (7-13 days)</t>
  </si>
  <si>
    <t>WU Required (14-30 days)</t>
  </si>
  <si>
    <t>IP Currency</t>
  </si>
  <si>
    <t>Pressure to complete</t>
  </si>
  <si>
    <r>
      <rPr>
        <b/>
        <sz val="10"/>
        <rFont val="Times New Roman"/>
        <family val="1"/>
      </rPr>
      <t>Mission</t>
    </r>
    <r>
      <rPr>
        <sz val="10"/>
        <rFont val="Times New Roman"/>
        <family val="1"/>
      </rPr>
      <t xml:space="preserve"> (Contact / Inst / NVG / Etc.)</t>
    </r>
  </si>
  <si>
    <t>Day Fam = 21 Days</t>
  </si>
  <si>
    <t>Night = 60 Days</t>
  </si>
  <si>
    <t>IP Flight Waivers   Y /  N</t>
  </si>
  <si>
    <t>SAR = 180 Days</t>
  </si>
  <si>
    <t>Review of training jacket</t>
  </si>
  <si>
    <t>EOB Requirements</t>
  </si>
  <si>
    <t>Previous UNSAT</t>
  </si>
  <si>
    <t>FOD Awareness</t>
  </si>
  <si>
    <t>Hot-start Avoidance</t>
  </si>
  <si>
    <t>SNA Double-Scheduled</t>
  </si>
  <si>
    <t>TTO/DOR Policy</t>
  </si>
  <si>
    <t>Read &amp; Initial Currency</t>
  </si>
  <si>
    <t>Hot or Cold WX Precautions</t>
  </si>
  <si>
    <t>Mission-Specific ORM</t>
  </si>
  <si>
    <t>Flight Equipment / EKB Usage</t>
  </si>
  <si>
    <t>2) Sleep Last 24 Hours / Discuss Cumulative Fatigue</t>
  </si>
  <si>
    <t>≥ 10 on deck after 2200 (req CO app.)</t>
  </si>
  <si>
    <t>5-25 kts</t>
  </si>
  <si>
    <t>&gt;35 kts</t>
  </si>
  <si>
    <t xml:space="preserve">Incomplete </t>
  </si>
  <si>
    <t>Frz Lvl</t>
  </si>
  <si>
    <t>Vis (SM)</t>
  </si>
  <si>
    <t>Crew-identified Top 3 Hazards + Associated Controls / Mitigations</t>
  </si>
  <si>
    <t>&lt; 5 kts or 25-35 kts</t>
  </si>
  <si>
    <t>6) Winds</t>
  </si>
  <si>
    <t>&gt; 3 'MED' or ANY 'HIGH': DH / XO / CO SIGNATURE:</t>
  </si>
  <si>
    <t>Forms / Logs / INST = 90 Days</t>
  </si>
  <si>
    <t>All 'LOW' or ≤ 3 'MED': PIC SIGNATURE:</t>
  </si>
  <si>
    <r>
      <rPr>
        <u/>
        <sz val="14"/>
        <color theme="1"/>
        <rFont val="times new roman"/>
        <family val="1"/>
      </rPr>
      <t>Normal:</t>
    </r>
    <r>
      <rPr>
        <sz val="14"/>
        <color theme="1"/>
        <rFont val="times new roman"/>
        <family val="1"/>
      </rPr>
      <t xml:space="preserve"> 
DAY: AC–ON, POS–OFF                                                 
</t>
    </r>
    <r>
      <rPr>
        <u/>
        <sz val="14"/>
        <color theme="1"/>
        <rFont val="times new roman"/>
        <family val="1"/>
      </rPr>
      <t>Lost Comm:</t>
    </r>
    <r>
      <rPr>
        <sz val="14"/>
        <color theme="1"/>
        <rFont val="times new roman"/>
        <family val="1"/>
      </rPr>
      <t xml:space="preserve"> 
DAY: AC–OFF, POS–ON                 
</t>
    </r>
    <r>
      <rPr>
        <u/>
        <sz val="14"/>
        <color theme="1"/>
        <rFont val="times new roman"/>
        <family val="1"/>
      </rPr>
      <t>Ready:</t>
    </r>
    <r>
      <rPr>
        <sz val="14"/>
        <color theme="1"/>
        <rFont val="times new roman"/>
        <family val="1"/>
      </rPr>
      <t xml:space="preserve"> 
"Ready" call on TAC</t>
    </r>
  </si>
  <si>
    <r>
      <t>FH_______ (</t>
    </r>
    <r>
      <rPr>
        <b/>
        <sz val="18"/>
        <color rgb="FFFF0000"/>
        <rFont val="times new roman"/>
        <family val="1"/>
      </rPr>
      <t>EXTERNAL</t>
    </r>
    <r>
      <rPr>
        <b/>
        <sz val="18"/>
        <color theme="1"/>
        <rFont val="times new roman"/>
        <family val="1"/>
      </rPr>
      <t xml:space="preserve">  _____)</t>
    </r>
  </si>
  <si>
    <t>I. CMN</t>
  </si>
  <si>
    <r>
      <rPr>
        <u/>
        <sz val="11"/>
        <color theme="1"/>
        <rFont val="times new roman"/>
        <family val="1"/>
      </rPr>
      <t>Normal:</t>
    </r>
    <r>
      <rPr>
        <sz val="11"/>
        <color theme="1"/>
        <rFont val="times new roman"/>
        <family val="1"/>
      </rPr>
      <t xml:space="preserve"> 
DAY: Anti-collision–ON Position–OFF                                                 
</t>
    </r>
    <r>
      <rPr>
        <u/>
        <sz val="11"/>
        <color theme="1"/>
        <rFont val="times new roman"/>
        <family val="1"/>
      </rPr>
      <t>Lost Comm:</t>
    </r>
    <r>
      <rPr>
        <sz val="11"/>
        <color theme="1"/>
        <rFont val="times new roman"/>
        <family val="1"/>
      </rPr>
      <t xml:space="preserve"> 
DAY: Anti-collision–OFF Position–ON                
</t>
    </r>
    <r>
      <rPr>
        <u/>
        <sz val="11"/>
        <color theme="1"/>
        <rFont val="times new roman"/>
        <family val="1"/>
      </rPr>
      <t>Ready:</t>
    </r>
    <r>
      <rPr>
        <sz val="11"/>
        <color theme="1"/>
        <rFont val="times new roman"/>
        <family val="1"/>
      </rPr>
      <t xml:space="preserve"> 
"Ready" call on TAC</t>
    </r>
  </si>
  <si>
    <r>
      <t xml:space="preserve">Print "Kneeboard Cards" TAB. </t>
    </r>
    <r>
      <rPr>
        <sz val="11"/>
        <color rgb="FFFF0000"/>
        <rFont val="times new roman"/>
        <family val="1"/>
      </rPr>
      <t>NORMAL EDGES, FLIP SHORT EDGE</t>
    </r>
    <r>
      <rPr>
        <sz val="11"/>
        <color theme="1"/>
        <rFont val="times new roman"/>
        <family val="2"/>
      </rPr>
      <t>. Complete/sign ORM portion and leave with FDO.</t>
    </r>
  </si>
  <si>
    <t>&lt;25% illum &amp; unaided</t>
  </si>
  <si>
    <t>Crysler</t>
  </si>
  <si>
    <t>Garrett</t>
  </si>
  <si>
    <t>HT-28</t>
  </si>
  <si>
    <t>9)</t>
  </si>
  <si>
    <t>8) Twist Grip Manipulation</t>
  </si>
  <si>
    <t>4.0-4.5 hrs Flt Time</t>
  </si>
  <si>
    <t>&lt;4.0 Flt Time</t>
  </si>
  <si>
    <t>Maj</t>
  </si>
  <si>
    <t>Aircrew 150 lbs</t>
  </si>
  <si>
    <t>Aircrew 170 lbs</t>
  </si>
  <si>
    <t>Aircrew 190 lbs</t>
  </si>
  <si>
    <t>Aircrew 210 lbs</t>
  </si>
  <si>
    <t>Patrick</t>
  </si>
  <si>
    <t>TW-5</t>
  </si>
  <si>
    <t>Maloney</t>
  </si>
  <si>
    <t>LtCol</t>
  </si>
  <si>
    <t>HLL</t>
  </si>
  <si>
    <t>LLL</t>
  </si>
  <si>
    <t>LLL and WX&lt;1000/3</t>
  </si>
  <si>
    <t>Heer</t>
  </si>
  <si>
    <t>Whitney</t>
  </si>
  <si>
    <t>Williams</t>
  </si>
  <si>
    <t>Mark</t>
  </si>
  <si>
    <t>Aircrew 230 lbs</t>
  </si>
  <si>
    <t>Aircrew 250 lbs</t>
  </si>
  <si>
    <t>Aircrew 270 lbs</t>
  </si>
  <si>
    <t>HT-28 ORM WORKSHEET</t>
  </si>
  <si>
    <t>HT-28 BASE</t>
  </si>
  <si>
    <t>7, 1, 3</t>
  </si>
  <si>
    <t>Carlson</t>
  </si>
  <si>
    <t>Brett</t>
  </si>
  <si>
    <t>Aircrew 130 lbs</t>
  </si>
  <si>
    <t>Grangagnolo</t>
  </si>
  <si>
    <t>Jason</t>
  </si>
  <si>
    <t>Keef</t>
  </si>
  <si>
    <t>Cody</t>
  </si>
  <si>
    <t>Allert</t>
  </si>
  <si>
    <t>Mike</t>
  </si>
  <si>
    <t>Rateike</t>
  </si>
  <si>
    <t>Clifton</t>
  </si>
  <si>
    <t>Boivin</t>
  </si>
  <si>
    <t>Travis</t>
  </si>
  <si>
    <t>Sherwood</t>
  </si>
  <si>
    <t>Sam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</si>
  <si>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</si>
  <si>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</si>
  <si>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</si>
  <si>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</si>
  <si>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</si>
  <si>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</si>
  <si>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</si>
  <si>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</si>
  <si>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</si>
  <si>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</si>
  <si>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</si>
  <si>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</si>
  <si>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</si>
  <si>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</si>
  <si>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</si>
  <si>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</si>
  <si>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</si>
  <si>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</si>
  <si>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</si>
  <si>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</si>
  <si>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</si>
  <si>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</si>
  <si>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</si>
  <si>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</si>
  <si>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</si>
  <si>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</si>
  <si>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</si>
  <si>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</si>
  <si>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</si>
  <si>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</si>
  <si>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</si>
  <si>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</si>
  <si>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</si>
  <si>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</si>
  <si>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</si>
  <si>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</si>
  <si>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</si>
  <si>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</si>
  <si>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</si>
  <si>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260</t>
  </si>
  <si>
    <t>261</t>
  </si>
  <si>
    <t>262</t>
  </si>
  <si>
    <t>263</t>
  </si>
  <si>
    <t>264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</si>
  <si>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</si>
  <si>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</si>
  <si>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</si>
  <si>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</si>
  <si>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</si>
  <si>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</si>
  <si>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</si>
  <si>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</si>
  <si>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</si>
  <si>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</si>
  <si>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</si>
  <si>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</si>
  <si>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</si>
  <si>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</si>
  <si>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</si>
  <si>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</si>
  <si>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</si>
  <si>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</si>
  <si>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</si>
  <si>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</si>
  <si>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</si>
  <si>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</si>
  <si>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</si>
  <si>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</si>
  <si>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</si>
  <si>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</si>
  <si>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</si>
  <si>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</si>
  <si>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</si>
  <si>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</si>
  <si>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</si>
  <si>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</si>
  <si>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</si>
  <si>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</si>
  <si>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</si>
  <si>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</si>
  <si>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</si>
  <si>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</si>
  <si>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</si>
  <si>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</si>
  <si>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</si>
  <si>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</si>
  <si>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</si>
  <si>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</si>
  <si>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</si>
  <si>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</si>
  <si>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</si>
  <si>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</si>
  <si>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</si>
  <si>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</si>
  <si>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</si>
  <si>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</si>
  <si>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</si>
  <si>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</si>
  <si>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</si>
  <si>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</si>
  <si>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</si>
  <si>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</si>
  <si>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</si>
  <si>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</si>
  <si>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</si>
  <si>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</si>
  <si>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</si>
  <si>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</si>
  <si>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</si>
  <si>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</si>
  <si>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</si>
  <si>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</si>
  <si>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</si>
  <si>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</si>
  <si>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</si>
  <si>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</si>
  <si>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</si>
  <si>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</si>
  <si>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</si>
  <si>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</si>
  <si>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</si>
  <si>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</si>
  <si>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</si>
  <si>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</si>
  <si>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</si>
  <si>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</si>
  <si>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</si>
  <si>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</si>
  <si>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</si>
  <si>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</si>
  <si>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Sweeney</t>
  </si>
  <si>
    <t>Terrance</t>
  </si>
  <si>
    <t>Andino</t>
  </si>
  <si>
    <t>Dupaix</t>
  </si>
  <si>
    <t>Megan</t>
  </si>
  <si>
    <t>22 SEPT 25  UPDATE</t>
  </si>
  <si>
    <t>Vare</t>
  </si>
  <si>
    <t>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</si>
</sst>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"/>
    <numFmt numFmtId="166" formatCode="[$-409]d\-mmm\-yy;@"/>
    <numFmt numFmtId="167" formatCode="dd\-mmm\-yy"/>
    <numFmt numFmtId="168" formatCode="0##"/>
    <numFmt numFmtId="169" formatCode="0###"/>
    <numFmt numFmtId="170" formatCode="0;\-0;;@"/>
    <numFmt numFmtId="171" formatCode="#,##0.0"/>
  </numFmts>
  <fonts count="36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8"/>
      <color theme="1"/>
      <name val="times new roman"/>
      <family val="2"/>
    </font>
    <font>
      <sz val="10"/>
      <color theme="1"/>
      <name val="times new roman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3366FF"/>
      <name val="Times New Roman"/>
      <family val="1"/>
    </font>
    <font>
      <sz val="10"/>
      <color rgb="FF3333FF"/>
      <name val="Times New Roman"/>
      <family val="1"/>
    </font>
    <font>
      <sz val="10"/>
      <color rgb="FF0000FF"/>
      <name val="Times New Roman"/>
      <family val="1"/>
    </font>
    <font>
      <u/>
      <sz val="10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9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8.5"/>
      <name val="Times New Roman"/>
      <family val="1"/>
    </font>
    <font>
      <u/>
      <sz val="11"/>
      <color theme="1"/>
      <name val="times new roman"/>
      <family val="1"/>
    </font>
    <font>
      <sz val="11"/>
      <color theme="0"/>
      <name val="times new roman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8"/>
      <name val="times new roman"/>
      <family val="2"/>
    </font>
    <font>
      <sz val="8"/>
      <name val="Times New Roman"/>
      <family val="1"/>
    </font>
    <font>
      <b/>
      <u/>
      <sz val="9"/>
      <name val="Times New Roman"/>
      <family val="1"/>
    </font>
    <font>
      <sz val="7"/>
      <name val="Times New Roman"/>
      <family val="1"/>
    </font>
    <font>
      <b/>
      <sz val="18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sz val="11"/>
      <color rgb="FFFF0000"/>
      <name val="times new roman"/>
      <family val="1"/>
    </font>
    <font>
      <sz val="8.5"/>
      <color theme="1"/>
      <name val="times new roman"/>
      <family val="2"/>
    </font>
    <font>
      <sz val="11"/>
      <color rgb="FF000000"/>
      <name val="Times New Roman"/>
      <family val="1"/>
    </font>
    <font>
      <sz val="8"/>
      <color rgb="FF000000"/>
      <name val="Arial"/>
      <family val="2"/>
    </font>
    <font>
      <sz val="1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98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1" fontId="0" fillId="0" borderId="1" xfId="0" applyNumberFormat="1" applyBorder="1"/>
    <xf numFmtId="0" fontId="1" fillId="0" borderId="2" xfId="0" applyFont="1" applyBorder="1"/>
    <xf numFmtId="1" fontId="0" fillId="0" borderId="0" xfId="0" applyNumberFormat="1"/>
    <xf numFmtId="164" fontId="0" fillId="0" borderId="9" xfId="0" applyNumberFormat="1" applyBorder="1"/>
    <xf numFmtId="164" fontId="0" fillId="0" borderId="10" xfId="0" applyNumberFormat="1" applyBorder="1"/>
    <xf numFmtId="1" fontId="0" fillId="0" borderId="10" xfId="0" applyNumberFormat="1" applyBorder="1"/>
    <xf numFmtId="0" fontId="0" fillId="0" borderId="15" xfId="0" applyBorder="1"/>
    <xf numFmtId="1" fontId="2" fillId="0" borderId="1" xfId="0" applyNumberFormat="1" applyFont="1" applyBorder="1"/>
    <xf numFmtId="1" fontId="2" fillId="0" borderId="6" xfId="0" applyNumberFormat="1" applyFont="1" applyBorder="1"/>
    <xf numFmtId="0" fontId="2" fillId="0" borderId="9" xfId="0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3" borderId="1" xfId="0" applyFont="1" applyFill="1" applyBorder="1"/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" fontId="2" fillId="0" borderId="10" xfId="0" applyNumberFormat="1" applyFont="1" applyBorder="1"/>
    <xf numFmtId="0" fontId="5" fillId="0" borderId="0" xfId="0" applyFont="1"/>
    <xf numFmtId="0" fontId="4" fillId="0" borderId="18" xfId="0" applyFont="1" applyBorder="1"/>
    <xf numFmtId="0" fontId="5" fillId="0" borderId="34" xfId="0" applyFont="1" applyBorder="1"/>
    <xf numFmtId="0" fontId="5" fillId="0" borderId="17" xfId="0" applyFont="1" applyBorder="1"/>
    <xf numFmtId="167" fontId="5" fillId="0" borderId="0" xfId="0" applyNumberFormat="1" applyFont="1"/>
    <xf numFmtId="168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38" xfId="0" applyFont="1" applyBorder="1"/>
    <xf numFmtId="0" fontId="5" fillId="0" borderId="39" xfId="0" applyFont="1" applyBorder="1"/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7" fillId="0" borderId="42" xfId="0" applyFont="1" applyBorder="1"/>
    <xf numFmtId="0" fontId="7" fillId="0" borderId="43" xfId="0" applyFont="1" applyBorder="1"/>
    <xf numFmtId="0" fontId="5" fillId="0" borderId="35" xfId="0" applyFont="1" applyBorder="1"/>
    <xf numFmtId="0" fontId="5" fillId="0" borderId="23" xfId="0" applyFont="1" applyBorder="1"/>
    <xf numFmtId="0" fontId="5" fillId="0" borderId="43" xfId="0" applyFont="1" applyBorder="1"/>
    <xf numFmtId="0" fontId="5" fillId="0" borderId="0" xfId="0" quotePrefix="1" applyFont="1"/>
    <xf numFmtId="0" fontId="7" fillId="0" borderId="0" xfId="0" applyFont="1"/>
    <xf numFmtId="0" fontId="7" fillId="0" borderId="33" xfId="0" applyFont="1" applyBorder="1"/>
    <xf numFmtId="0" fontId="7" fillId="0" borderId="23" xfId="0" applyFont="1" applyBorder="1"/>
    <xf numFmtId="0" fontId="5" fillId="0" borderId="33" xfId="0" applyFont="1" applyBorder="1"/>
    <xf numFmtId="0" fontId="5" fillId="0" borderId="37" xfId="0" applyFont="1" applyBorder="1"/>
    <xf numFmtId="0" fontId="5" fillId="0" borderId="36" xfId="0" applyFont="1" applyBorder="1"/>
    <xf numFmtId="0" fontId="6" fillId="0" borderId="0" xfId="0" applyFont="1"/>
    <xf numFmtId="0" fontId="9" fillId="0" borderId="0" xfId="0" applyFont="1"/>
    <xf numFmtId="0" fontId="5" fillId="0" borderId="44" xfId="0" applyFont="1" applyBorder="1"/>
    <xf numFmtId="0" fontId="7" fillId="0" borderId="45" xfId="0" applyFont="1" applyBorder="1"/>
    <xf numFmtId="0" fontId="5" fillId="0" borderId="24" xfId="0" applyFont="1" applyBorder="1"/>
    <xf numFmtId="1" fontId="5" fillId="0" borderId="1" xfId="0" applyNumberFormat="1" applyFont="1" applyBorder="1"/>
    <xf numFmtId="0" fontId="6" fillId="0" borderId="35" xfId="0" applyFont="1" applyBorder="1"/>
    <xf numFmtId="0" fontId="5" fillId="0" borderId="35" xfId="0" applyFont="1" applyBorder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36" xfId="0" applyFont="1" applyBorder="1" applyProtection="1">
      <protection locked="0"/>
    </xf>
    <xf numFmtId="0" fontId="5" fillId="0" borderId="33" xfId="0" applyFont="1" applyBorder="1" applyAlignment="1" applyProtection="1">
      <alignment wrapText="1"/>
      <protection locked="0"/>
    </xf>
    <xf numFmtId="0" fontId="5" fillId="0" borderId="33" xfId="0" applyFont="1" applyBorder="1" applyProtection="1">
      <protection locked="0"/>
    </xf>
    <xf numFmtId="0" fontId="5" fillId="0" borderId="46" xfId="0" applyFont="1" applyBorder="1"/>
    <xf numFmtId="0" fontId="5" fillId="0" borderId="47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16" xfId="0" applyFont="1" applyBorder="1"/>
    <xf numFmtId="0" fontId="5" fillId="0" borderId="41" xfId="0" applyFont="1" applyBorder="1" applyProtection="1">
      <protection locked="0"/>
    </xf>
    <xf numFmtId="0" fontId="5" fillId="0" borderId="42" xfId="0" applyFont="1" applyBorder="1" applyProtection="1">
      <protection locked="0"/>
    </xf>
    <xf numFmtId="0" fontId="5" fillId="0" borderId="43" xfId="0" applyFont="1" applyBorder="1" applyProtection="1">
      <protection locked="0"/>
    </xf>
    <xf numFmtId="0" fontId="5" fillId="0" borderId="23" xfId="0" applyFont="1" applyBorder="1" applyProtection="1">
      <protection locked="0"/>
    </xf>
    <xf numFmtId="170" fontId="5" fillId="0" borderId="41" xfId="0" applyNumberFormat="1" applyFont="1" applyBorder="1"/>
    <xf numFmtId="170" fontId="5" fillId="0" borderId="42" xfId="0" applyNumberFormat="1" applyFont="1" applyBorder="1"/>
    <xf numFmtId="170" fontId="5" fillId="0" borderId="43" xfId="0" applyNumberFormat="1" applyFont="1" applyBorder="1"/>
    <xf numFmtId="170" fontId="8" fillId="0" borderId="0" xfId="0" applyNumberFormat="1" applyFont="1"/>
    <xf numFmtId="170" fontId="5" fillId="0" borderId="0" xfId="0" applyNumberFormat="1" applyFont="1"/>
    <xf numFmtId="0" fontId="5" fillId="0" borderId="37" xfId="0" applyFont="1" applyBorder="1" applyProtection="1">
      <protection locked="0"/>
    </xf>
    <xf numFmtId="0" fontId="4" fillId="0" borderId="0" xfId="0" applyFont="1" applyAlignment="1">
      <alignment horizontal="right"/>
    </xf>
    <xf numFmtId="0" fontId="5" fillId="0" borderId="11" xfId="0" applyFont="1" applyBorder="1" applyAlignment="1">
      <alignment horizontal="center"/>
    </xf>
    <xf numFmtId="164" fontId="5" fillId="4" borderId="1" xfId="0" applyNumberFormat="1" applyFont="1" applyFill="1" applyBorder="1"/>
    <xf numFmtId="1" fontId="5" fillId="5" borderId="1" xfId="0" applyNumberFormat="1" applyFont="1" applyFill="1" applyBorder="1"/>
    <xf numFmtId="164" fontId="5" fillId="5" borderId="1" xfId="0" applyNumberFormat="1" applyFont="1" applyFill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0" fontId="5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6" borderId="0" xfId="0" applyFont="1" applyFill="1"/>
    <xf numFmtId="1" fontId="6" fillId="0" borderId="1" xfId="0" applyNumberFormat="1" applyFont="1" applyBorder="1"/>
    <xf numFmtId="164" fontId="6" fillId="0" borderId="1" xfId="0" applyNumberFormat="1" applyFont="1" applyBorder="1"/>
    <xf numFmtId="164" fontId="5" fillId="5" borderId="18" xfId="0" applyNumberFormat="1" applyFont="1" applyFill="1" applyBorder="1"/>
    <xf numFmtId="0" fontId="5" fillId="6" borderId="33" xfId="0" applyFont="1" applyFill="1" applyBorder="1"/>
    <xf numFmtId="0" fontId="5" fillId="6" borderId="3" xfId="0" applyFont="1" applyFill="1" applyBorder="1"/>
    <xf numFmtId="0" fontId="5" fillId="6" borderId="5" xfId="0" applyFont="1" applyFill="1" applyBorder="1"/>
    <xf numFmtId="0" fontId="5" fillId="0" borderId="16" xfId="0" applyFont="1" applyBorder="1" applyAlignment="1">
      <alignment horizontal="center"/>
    </xf>
    <xf numFmtId="1" fontId="5" fillId="0" borderId="0" xfId="0" applyNumberFormat="1" applyFont="1"/>
    <xf numFmtId="164" fontId="5" fillId="0" borderId="0" xfId="0" applyNumberFormat="1" applyFont="1"/>
    <xf numFmtId="1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18" xfId="0" applyFont="1" applyBorder="1"/>
    <xf numFmtId="0" fontId="8" fillId="0" borderId="0" xfId="0" applyFont="1"/>
    <xf numFmtId="0" fontId="5" fillId="0" borderId="0" xfId="0" applyFont="1" applyAlignment="1" applyProtection="1">
      <alignment wrapText="1" shrinkToFit="1"/>
      <protection locked="0"/>
    </xf>
    <xf numFmtId="0" fontId="5" fillId="0" borderId="42" xfId="0" applyFont="1" applyBorder="1" applyAlignment="1" applyProtection="1">
      <alignment wrapText="1"/>
      <protection locked="0"/>
    </xf>
    <xf numFmtId="49" fontId="8" fillId="0" borderId="0" xfId="0" applyNumberFormat="1" applyFont="1"/>
    <xf numFmtId="0" fontId="5" fillId="0" borderId="51" xfId="0" applyFont="1" applyBorder="1"/>
    <xf numFmtId="0" fontId="5" fillId="0" borderId="45" xfId="0" applyFont="1" applyBorder="1"/>
    <xf numFmtId="0" fontId="5" fillId="0" borderId="30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31" xfId="0" applyFont="1" applyBorder="1" applyAlignment="1">
      <alignment horizontal="right"/>
    </xf>
    <xf numFmtId="1" fontId="5" fillId="0" borderId="14" xfId="0" applyNumberFormat="1" applyFont="1" applyBorder="1"/>
    <xf numFmtId="164" fontId="5" fillId="4" borderId="14" xfId="0" applyNumberFormat="1" applyFont="1" applyFill="1" applyBorder="1"/>
    <xf numFmtId="0" fontId="5" fillId="0" borderId="22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8" fillId="0" borderId="34" xfId="0" applyFont="1" applyBorder="1"/>
    <xf numFmtId="0" fontId="10" fillId="0" borderId="0" xfId="0" applyFont="1"/>
    <xf numFmtId="0" fontId="1" fillId="7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0" fontId="2" fillId="7" borderId="0" xfId="0" applyFont="1" applyFill="1"/>
    <xf numFmtId="0" fontId="3" fillId="7" borderId="0" xfId="0" applyFont="1" applyFill="1"/>
    <xf numFmtId="0" fontId="0" fillId="7" borderId="0" xfId="0" applyFill="1" applyAlignment="1">
      <alignment horizontal="left"/>
    </xf>
    <xf numFmtId="0" fontId="11" fillId="7" borderId="0" xfId="0" applyFont="1" applyFill="1"/>
    <xf numFmtId="0" fontId="1" fillId="7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12" fillId="7" borderId="0" xfId="0" applyFont="1" applyFill="1"/>
    <xf numFmtId="0" fontId="2" fillId="3" borderId="10" xfId="0" applyFont="1" applyFill="1" applyBorder="1"/>
    <xf numFmtId="1" fontId="2" fillId="0" borderId="15" xfId="0" applyNumberFormat="1" applyFont="1" applyBorder="1"/>
    <xf numFmtId="0" fontId="6" fillId="0" borderId="35" xfId="0" applyFont="1" applyBorder="1" applyProtection="1">
      <protection locked="0"/>
    </xf>
    <xf numFmtId="0" fontId="2" fillId="0" borderId="5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/>
    <xf numFmtId="15" fontId="0" fillId="8" borderId="1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49" fontId="0" fillId="8" borderId="1" xfId="0" applyNumberFormat="1" applyFill="1" applyBorder="1" applyProtection="1">
      <protection locked="0"/>
    </xf>
    <xf numFmtId="49" fontId="0" fillId="8" borderId="1" xfId="0" applyNumberFormat="1" applyFill="1" applyBorder="1" applyAlignment="1" applyProtection="1">
      <alignment horizontal="center" vertical="center"/>
      <protection locked="0"/>
    </xf>
    <xf numFmtId="49" fontId="0" fillId="8" borderId="12" xfId="0" applyNumberFormat="1" applyFill="1" applyBorder="1" applyAlignment="1" applyProtection="1">
      <alignment horizontal="center" vertical="center"/>
      <protection locked="0"/>
    </xf>
    <xf numFmtId="1" fontId="0" fillId="8" borderId="1" xfId="0" applyNumberFormat="1" applyFill="1" applyBorder="1" applyAlignment="1" applyProtection="1">
      <alignment horizontal="center" vertical="center"/>
      <protection locked="0"/>
    </xf>
    <xf numFmtId="1" fontId="0" fillId="8" borderId="14" xfId="0" applyNumberFormat="1" applyFill="1" applyBorder="1" applyAlignment="1" applyProtection="1">
      <alignment horizontal="center" vertical="center"/>
      <protection locked="0"/>
    </xf>
    <xf numFmtId="2" fontId="0" fillId="8" borderId="1" xfId="0" applyNumberFormat="1" applyFill="1" applyBorder="1" applyAlignment="1" applyProtection="1">
      <alignment horizontal="center" vertical="center"/>
      <protection locked="0"/>
    </xf>
    <xf numFmtId="1" fontId="0" fillId="8" borderId="1" xfId="0" applyNumberFormat="1" applyFill="1" applyBorder="1" applyProtection="1">
      <protection locked="0"/>
    </xf>
    <xf numFmtId="164" fontId="0" fillId="8" borderId="1" xfId="0" applyNumberFormat="1" applyFill="1" applyBorder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1" fontId="2" fillId="0" borderId="1" xfId="0" applyNumberFormat="1" applyFont="1" applyBorder="1" applyAlignment="1" applyProtection="1">
      <alignment horizontal="right"/>
      <protection locked="0"/>
    </xf>
    <xf numFmtId="1" fontId="2" fillId="0" borderId="10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" fontId="2" fillId="0" borderId="14" xfId="0" applyNumberFormat="1" applyFont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0" fillId="3" borderId="0" xfId="0" applyFill="1"/>
    <xf numFmtId="0" fontId="0" fillId="3" borderId="8" xfId="0" applyFill="1" applyBorder="1"/>
    <xf numFmtId="0" fontId="2" fillId="0" borderId="5" xfId="0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5" xfId="0" applyFont="1" applyFill="1" applyBorder="1"/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1" fontId="2" fillId="0" borderId="17" xfId="0" applyNumberFormat="1" applyFont="1" applyBorder="1" applyAlignment="1">
      <alignment horizontal="right"/>
    </xf>
    <xf numFmtId="0" fontId="2" fillId="3" borderId="0" xfId="0" applyFont="1" applyFill="1"/>
    <xf numFmtId="1" fontId="2" fillId="3" borderId="0" xfId="0" applyNumberFormat="1" applyFont="1" applyFill="1"/>
    <xf numFmtId="1" fontId="0" fillId="3" borderId="8" xfId="0" applyNumberFormat="1" applyFill="1" applyBorder="1"/>
    <xf numFmtId="0" fontId="2" fillId="3" borderId="16" xfId="0" applyFont="1" applyFill="1" applyBorder="1"/>
    <xf numFmtId="0" fontId="0" fillId="3" borderId="11" xfId="0" applyFill="1" applyBorder="1"/>
    <xf numFmtId="0" fontId="5" fillId="2" borderId="14" xfId="0" applyFont="1" applyFill="1" applyBorder="1" applyProtection="1">
      <protection locked="0"/>
    </xf>
    <xf numFmtId="0" fontId="5" fillId="2" borderId="53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164" fontId="5" fillId="5" borderId="1" xfId="0" applyNumberFormat="1" applyFont="1" applyFill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164" fontId="5" fillId="2" borderId="1" xfId="0" applyNumberFormat="1" applyFont="1" applyFill="1" applyBorder="1" applyProtection="1">
      <protection locked="0"/>
    </xf>
    <xf numFmtId="170" fontId="5" fillId="0" borderId="33" xfId="0" applyNumberFormat="1" applyFont="1" applyBorder="1" applyProtection="1">
      <protection locked="0"/>
    </xf>
    <xf numFmtId="170" fontId="5" fillId="0" borderId="35" xfId="0" applyNumberFormat="1" applyFont="1" applyBorder="1" applyProtection="1">
      <protection locked="0"/>
    </xf>
    <xf numFmtId="170" fontId="8" fillId="0" borderId="0" xfId="0" applyNumberFormat="1" applyFont="1" applyProtection="1">
      <protection locked="0"/>
    </xf>
    <xf numFmtId="170" fontId="5" fillId="0" borderId="0" xfId="0" applyNumberFormat="1" applyFont="1" applyProtection="1">
      <protection locked="0"/>
    </xf>
    <xf numFmtId="170" fontId="5" fillId="0" borderId="23" xfId="0" applyNumberFormat="1" applyFont="1" applyBorder="1" applyProtection="1">
      <protection locked="0"/>
    </xf>
    <xf numFmtId="0" fontId="8" fillId="0" borderId="34" xfId="0" applyFont="1" applyBorder="1" applyProtection="1">
      <protection locked="0"/>
    </xf>
    <xf numFmtId="0" fontId="5" fillId="0" borderId="34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11" fillId="7" borderId="0" xfId="0" applyFont="1" applyFill="1" applyAlignment="1">
      <alignment horizontal="right"/>
    </xf>
    <xf numFmtId="0" fontId="5" fillId="0" borderId="55" xfId="0" applyFont="1" applyBorder="1"/>
    <xf numFmtId="0" fontId="6" fillId="0" borderId="56" xfId="0" applyFont="1" applyBorder="1" applyAlignment="1">
      <alignment vertical="center"/>
    </xf>
    <xf numFmtId="0" fontId="5" fillId="0" borderId="56" xfId="0" applyFont="1" applyBorder="1"/>
    <xf numFmtId="0" fontId="5" fillId="0" borderId="57" xfId="0" applyFont="1" applyBorder="1"/>
    <xf numFmtId="0" fontId="8" fillId="0" borderId="7" xfId="0" applyFont="1" applyBorder="1"/>
    <xf numFmtId="0" fontId="13" fillId="0" borderId="0" xfId="0" applyFont="1"/>
    <xf numFmtId="0" fontId="0" fillId="7" borderId="0" xfId="0" applyFill="1" applyAlignment="1">
      <alignment horizontal="center"/>
    </xf>
    <xf numFmtId="0" fontId="0" fillId="2" borderId="0" xfId="0" applyFill="1"/>
    <xf numFmtId="1" fontId="0" fillId="7" borderId="1" xfId="0" applyNumberFormat="1" applyFill="1" applyBorder="1"/>
    <xf numFmtId="171" fontId="0" fillId="7" borderId="1" xfId="0" applyNumberFormat="1" applyFill="1" applyBorder="1"/>
    <xf numFmtId="1" fontId="5" fillId="0" borderId="6" xfId="0" applyNumberFormat="1" applyFont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1" fontId="5" fillId="5" borderId="1" xfId="0" applyNumberFormat="1" applyFont="1" applyFill="1" applyBorder="1" applyProtection="1">
      <protection locked="0"/>
    </xf>
    <xf numFmtId="1" fontId="5" fillId="5" borderId="6" xfId="0" applyNumberFormat="1" applyFont="1" applyFill="1" applyBorder="1" applyProtection="1">
      <protection locked="0"/>
    </xf>
    <xf numFmtId="1" fontId="0" fillId="2" borderId="1" xfId="0" applyNumberFormat="1" applyFill="1" applyBorder="1"/>
    <xf numFmtId="1" fontId="5" fillId="0" borderId="6" xfId="0" applyNumberFormat="1" applyFont="1" applyBorder="1"/>
    <xf numFmtId="0" fontId="5" fillId="0" borderId="0" xfId="0" applyFont="1" applyAlignment="1">
      <alignment horizontal="right"/>
    </xf>
    <xf numFmtId="1" fontId="6" fillId="0" borderId="0" xfId="0" applyNumberFormat="1" applyFont="1"/>
    <xf numFmtId="164" fontId="6" fillId="0" borderId="0" xfId="0" applyNumberFormat="1" applyFont="1"/>
    <xf numFmtId="164" fontId="5" fillId="0" borderId="0" xfId="0" applyNumberFormat="1" applyFont="1" applyProtection="1">
      <protection locked="0"/>
    </xf>
    <xf numFmtId="1" fontId="5" fillId="0" borderId="0" xfId="0" applyNumberFormat="1" applyFont="1" applyProtection="1">
      <protection locked="0"/>
    </xf>
    <xf numFmtId="0" fontId="5" fillId="0" borderId="0" xfId="0" applyFont="1" applyAlignment="1">
      <alignment vertical="center"/>
    </xf>
    <xf numFmtId="170" fontId="6" fillId="0" borderId="0" xfId="0" applyNumberFormat="1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36" xfId="0" applyFont="1" applyBorder="1"/>
    <xf numFmtId="0" fontId="4" fillId="0" borderId="0" xfId="0" applyFont="1"/>
    <xf numFmtId="0" fontId="4" fillId="0" borderId="33" xfId="0" applyFont="1" applyBorder="1"/>
    <xf numFmtId="0" fontId="4" fillId="0" borderId="34" xfId="0" applyFont="1" applyBorder="1"/>
    <xf numFmtId="169" fontId="5" fillId="0" borderId="0" xfId="0" applyNumberFormat="1" applyFont="1"/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1" xfId="0" applyFont="1" applyBorder="1"/>
    <xf numFmtId="0" fontId="15" fillId="0" borderId="0" xfId="0" applyFont="1" applyAlignment="1">
      <alignment vertical="center"/>
    </xf>
    <xf numFmtId="0" fontId="18" fillId="7" borderId="0" xfId="0" applyFont="1" applyFill="1"/>
    <xf numFmtId="0" fontId="0" fillId="0" borderId="1" xfId="0" applyBorder="1" applyProtection="1">
      <protection locked="0"/>
    </xf>
    <xf numFmtId="0" fontId="19" fillId="6" borderId="7" xfId="0" applyFont="1" applyFill="1" applyBorder="1" applyAlignment="1">
      <alignment horizontal="center"/>
    </xf>
    <xf numFmtId="0" fontId="19" fillId="6" borderId="0" xfId="0" applyFont="1" applyFill="1" applyAlignment="1">
      <alignment horizontal="center"/>
    </xf>
    <xf numFmtId="0" fontId="19" fillId="6" borderId="7" xfId="0" applyFont="1" applyFill="1" applyBorder="1"/>
    <xf numFmtId="0" fontId="19" fillId="6" borderId="0" xfId="0" applyFont="1" applyFill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0" borderId="2" xfId="0" applyBorder="1"/>
    <xf numFmtId="0" fontId="0" fillId="0" borderId="8" xfId="0" applyBorder="1"/>
    <xf numFmtId="0" fontId="1" fillId="0" borderId="3" xfId="0" applyFont="1" applyBorder="1"/>
    <xf numFmtId="164" fontId="0" fillId="0" borderId="0" xfId="0" applyNumberFormat="1"/>
    <xf numFmtId="1" fontId="0" fillId="0" borderId="7" xfId="0" applyNumberFormat="1" applyBorder="1"/>
    <xf numFmtId="1" fontId="0" fillId="0" borderId="8" xfId="0" applyNumberFormat="1" applyBorder="1"/>
    <xf numFmtId="1" fontId="0" fillId="13" borderId="0" xfId="0" applyNumberFormat="1" applyFill="1"/>
    <xf numFmtId="164" fontId="0" fillId="7" borderId="0" xfId="0" applyNumberFormat="1" applyFill="1"/>
    <xf numFmtId="1" fontId="0" fillId="7" borderId="0" xfId="0" applyNumberFormat="1" applyFill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5" xfId="0" applyBorder="1"/>
    <xf numFmtId="0" fontId="0" fillId="0" borderId="36" xfId="0" applyBorder="1"/>
    <xf numFmtId="0" fontId="0" fillId="0" borderId="33" xfId="0" applyBorder="1"/>
    <xf numFmtId="1" fontId="0" fillId="13" borderId="23" xfId="0" applyNumberFormat="1" applyFill="1" applyBorder="1"/>
    <xf numFmtId="164" fontId="1" fillId="14" borderId="0" xfId="0" applyNumberFormat="1" applyFont="1" applyFill="1"/>
    <xf numFmtId="1" fontId="0" fillId="0" borderId="33" xfId="0" applyNumberFormat="1" applyBorder="1"/>
    <xf numFmtId="1" fontId="1" fillId="15" borderId="23" xfId="0" applyNumberFormat="1" applyFont="1" applyFill="1" applyBorder="1"/>
    <xf numFmtId="1" fontId="1" fillId="15" borderId="37" xfId="0" applyNumberFormat="1" applyFont="1" applyFill="1" applyBorder="1"/>
    <xf numFmtId="1" fontId="0" fillId="13" borderId="1" xfId="0" applyNumberFormat="1" applyFill="1" applyBorder="1"/>
    <xf numFmtId="4" fontId="0" fillId="0" borderId="0" xfId="0" applyNumberFormat="1"/>
    <xf numFmtId="2" fontId="0" fillId="13" borderId="0" xfId="0" applyNumberFormat="1" applyFill="1"/>
    <xf numFmtId="0" fontId="0" fillId="13" borderId="0" xfId="0" applyFill="1"/>
    <xf numFmtId="0" fontId="16" fillId="0" borderId="0" xfId="0" applyFont="1" applyAlignment="1">
      <alignment horizont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58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58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60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5" fillId="0" borderId="54" xfId="0" applyFont="1" applyBorder="1" applyAlignment="1">
      <alignment vertical="center"/>
    </xf>
    <xf numFmtId="0" fontId="5" fillId="7" borderId="48" xfId="0" applyFont="1" applyFill="1" applyBorder="1" applyAlignment="1">
      <alignment horizontal="left" vertical="center"/>
    </xf>
    <xf numFmtId="0" fontId="15" fillId="7" borderId="33" xfId="0" applyFont="1" applyFill="1" applyBorder="1" applyAlignment="1">
      <alignment horizontal="left" vertical="center"/>
    </xf>
    <xf numFmtId="0" fontId="15" fillId="7" borderId="37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center" vertical="center"/>
    </xf>
    <xf numFmtId="0" fontId="15" fillId="0" borderId="33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49" xfId="0" applyFont="1" applyBorder="1" applyAlignment="1">
      <alignment vertical="center"/>
    </xf>
    <xf numFmtId="0" fontId="15" fillId="0" borderId="59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58" xfId="0" applyFont="1" applyBorder="1" applyAlignment="1">
      <alignment vertical="center"/>
    </xf>
    <xf numFmtId="0" fontId="5" fillId="0" borderId="16" xfId="0" applyFont="1" applyBorder="1" applyProtection="1">
      <protection locked="0"/>
    </xf>
    <xf numFmtId="0" fontId="14" fillId="0" borderId="23" xfId="0" applyFont="1" applyBorder="1" applyAlignment="1">
      <alignment horizontal="left" vertical="center"/>
    </xf>
    <xf numFmtId="0" fontId="1" fillId="0" borderId="45" xfId="0" applyFont="1" applyBorder="1" applyAlignment="1">
      <alignment horizontal="center"/>
    </xf>
    <xf numFmtId="0" fontId="0" fillId="7" borderId="0" xfId="0" applyFill="1" applyProtection="1">
      <protection locked="0"/>
    </xf>
    <xf numFmtId="0" fontId="30" fillId="7" borderId="0" xfId="0" applyFont="1" applyFill="1" applyAlignment="1">
      <alignment horizontal="right"/>
    </xf>
    <xf numFmtId="167" fontId="5" fillId="0" borderId="0" xfId="0" applyNumberFormat="1" applyFont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0" fillId="0" borderId="50" xfId="0" applyBorder="1"/>
    <xf numFmtId="0" fontId="0" fillId="0" borderId="11" xfId="0" applyBorder="1"/>
    <xf numFmtId="0" fontId="11" fillId="0" borderId="0" xfId="0" applyFont="1"/>
    <xf numFmtId="0" fontId="14" fillId="0" borderId="50" xfId="0" applyFont="1" applyBorder="1"/>
    <xf numFmtId="0" fontId="33" fillId="0" borderId="0" xfId="0" applyFont="1" applyAlignment="1">
      <alignment horizontal="right" vertical="center" wrapText="1"/>
    </xf>
    <xf numFmtId="171" fontId="34" fillId="0" borderId="89" xfId="0" applyNumberFormat="1" applyFont="1" applyBorder="1" applyAlignment="1">
      <alignment horizontal="right" vertical="top" shrinkToFit="1"/>
    </xf>
    <xf numFmtId="2" fontId="34" fillId="0" borderId="89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8" borderId="0" xfId="0" applyNumberFormat="1" applyFill="1" applyAlignment="1">
      <alignment horizontal="center"/>
    </xf>
    <xf numFmtId="0" fontId="35" fillId="0" borderId="0" xfId="0" applyFont="1" applyAlignment="1">
      <alignment horizontal="right" vertical="top" wrapText="1"/>
    </xf>
    <xf numFmtId="4" fontId="33" fillId="0" borderId="0" xfId="0" applyNumberFormat="1" applyFont="1" applyAlignment="1">
      <alignment horizontal="right" vertical="center" wrapText="1"/>
    </xf>
    <xf numFmtId="2" fontId="0" fillId="0" borderId="0" xfId="0" applyNumberFormat="1" applyAlignment="1">
      <alignment horizontal="center"/>
    </xf>
    <xf numFmtId="49" fontId="0" fillId="8" borderId="1" xfId="0" applyNumberFormat="1" applyFill="1" applyBorder="1" applyAlignment="1" applyProtection="1">
      <alignment horizontal="left"/>
      <protection locked="0"/>
    </xf>
    <xf numFmtId="49" fontId="0" fillId="8" borderId="18" xfId="0" applyNumberFormat="1" applyFill="1" applyBorder="1" applyAlignment="1" applyProtection="1">
      <alignment horizontal="left" vertical="center"/>
      <protection locked="0"/>
    </xf>
    <xf numFmtId="49" fontId="0" fillId="8" borderId="34" xfId="0" applyNumberFormat="1" applyFill="1" applyBorder="1" applyAlignment="1" applyProtection="1">
      <alignment horizontal="left" vertical="center"/>
      <protection locked="0"/>
    </xf>
    <xf numFmtId="49" fontId="0" fillId="8" borderId="17" xfId="0" applyNumberFormat="1" applyFill="1" applyBorder="1" applyAlignment="1" applyProtection="1">
      <alignment horizontal="left" vertical="center"/>
      <protection locked="0"/>
    </xf>
    <xf numFmtId="1" fontId="5" fillId="11" borderId="46" xfId="0" applyNumberFormat="1" applyFont="1" applyFill="1" applyBorder="1" applyAlignment="1">
      <alignment horizontal="center" vertical="center"/>
    </xf>
    <xf numFmtId="1" fontId="5" fillId="11" borderId="42" xfId="0" applyNumberFormat="1" applyFont="1" applyFill="1" applyBorder="1" applyAlignment="1">
      <alignment horizontal="center" vertical="center"/>
    </xf>
    <xf numFmtId="1" fontId="5" fillId="11" borderId="43" xfId="0" applyNumberFormat="1" applyFont="1" applyFill="1" applyBorder="1" applyAlignment="1">
      <alignment horizontal="center" vertical="center"/>
    </xf>
    <xf numFmtId="1" fontId="5" fillId="11" borderId="50" xfId="0" applyNumberFormat="1" applyFont="1" applyFill="1" applyBorder="1" applyAlignment="1">
      <alignment horizontal="center" vertical="center"/>
    </xf>
    <xf numFmtId="1" fontId="5" fillId="11" borderId="16" xfId="0" applyNumberFormat="1" applyFont="1" applyFill="1" applyBorder="1" applyAlignment="1">
      <alignment horizontal="center" vertical="center"/>
    </xf>
    <xf numFmtId="1" fontId="5" fillId="11" borderId="58" xfId="0" applyNumberFormat="1" applyFont="1" applyFill="1" applyBorder="1" applyAlignment="1">
      <alignment horizontal="center" vertical="center"/>
    </xf>
    <xf numFmtId="0" fontId="17" fillId="0" borderId="5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5" fillId="10" borderId="46" xfId="0" applyFont="1" applyFill="1" applyBorder="1" applyAlignment="1">
      <alignment horizontal="center" vertical="center"/>
    </xf>
    <xf numFmtId="0" fontId="5" fillId="10" borderId="42" xfId="0" applyFont="1" applyFill="1" applyBorder="1" applyAlignment="1">
      <alignment horizontal="center" vertical="center"/>
    </xf>
    <xf numFmtId="0" fontId="5" fillId="10" borderId="43" xfId="0" applyFont="1" applyFill="1" applyBorder="1" applyAlignment="1">
      <alignment horizontal="center" vertical="center"/>
    </xf>
    <xf numFmtId="0" fontId="5" fillId="10" borderId="48" xfId="0" applyFont="1" applyFill="1" applyBorder="1" applyAlignment="1">
      <alignment horizontal="center" vertical="center"/>
    </xf>
    <xf numFmtId="0" fontId="5" fillId="10" borderId="33" xfId="0" applyFont="1" applyFill="1" applyBorder="1" applyAlignment="1">
      <alignment horizontal="center" vertical="center"/>
    </xf>
    <xf numFmtId="0" fontId="5" fillId="10" borderId="37" xfId="0" applyFont="1" applyFill="1" applyBorder="1" applyAlignment="1">
      <alignment horizontal="center" vertical="center"/>
    </xf>
    <xf numFmtId="1" fontId="5" fillId="9" borderId="2" xfId="0" applyNumberFormat="1" applyFont="1" applyFill="1" applyBorder="1" applyAlignment="1">
      <alignment horizontal="center" vertical="center"/>
    </xf>
    <xf numFmtId="1" fontId="5" fillId="9" borderId="3" xfId="0" applyNumberFormat="1" applyFont="1" applyFill="1" applyBorder="1" applyAlignment="1">
      <alignment horizontal="center" vertical="center"/>
    </xf>
    <xf numFmtId="1" fontId="5" fillId="9" borderId="54" xfId="0" applyNumberFormat="1" applyFont="1" applyFill="1" applyBorder="1" applyAlignment="1">
      <alignment horizontal="center" vertical="center"/>
    </xf>
    <xf numFmtId="1" fontId="5" fillId="9" borderId="48" xfId="0" applyNumberFormat="1" applyFont="1" applyFill="1" applyBorder="1" applyAlignment="1">
      <alignment horizontal="center" vertical="center"/>
    </xf>
    <xf numFmtId="1" fontId="5" fillId="9" borderId="33" xfId="0" applyNumberFormat="1" applyFont="1" applyFill="1" applyBorder="1" applyAlignment="1">
      <alignment horizontal="center" vertical="center"/>
    </xf>
    <xf numFmtId="1" fontId="5" fillId="9" borderId="37" xfId="0" applyNumberFormat="1" applyFont="1" applyFill="1" applyBorder="1" applyAlignment="1">
      <alignment horizontal="center" vertical="center"/>
    </xf>
    <xf numFmtId="0" fontId="32" fillId="0" borderId="26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5" fillId="10" borderId="32" xfId="0" applyFont="1" applyFill="1" applyBorder="1" applyAlignment="1">
      <alignment horizontal="center" vertical="center"/>
    </xf>
    <xf numFmtId="0" fontId="5" fillId="10" borderId="34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1" fontId="5" fillId="9" borderId="88" xfId="0" applyNumberFormat="1" applyFont="1" applyFill="1" applyBorder="1" applyAlignment="1">
      <alignment horizontal="center"/>
    </xf>
    <xf numFmtId="1" fontId="5" fillId="9" borderId="85" xfId="0" applyNumberFormat="1" applyFont="1" applyFill="1" applyBorder="1" applyAlignment="1">
      <alignment horizontal="center"/>
    </xf>
    <xf numFmtId="1" fontId="5" fillId="9" borderId="87" xfId="0" applyNumberFormat="1" applyFont="1" applyFill="1" applyBorder="1" applyAlignment="1">
      <alignment horizontal="center"/>
    </xf>
    <xf numFmtId="0" fontId="5" fillId="10" borderId="84" xfId="0" applyFont="1" applyFill="1" applyBorder="1" applyAlignment="1">
      <alignment horizontal="center"/>
    </xf>
    <xf numFmtId="0" fontId="5" fillId="10" borderId="85" xfId="0" applyFont="1" applyFill="1" applyBorder="1" applyAlignment="1">
      <alignment horizontal="center"/>
    </xf>
    <xf numFmtId="0" fontId="5" fillId="10" borderId="87" xfId="0" applyFont="1" applyFill="1" applyBorder="1" applyAlignment="1">
      <alignment horizontal="center"/>
    </xf>
    <xf numFmtId="0" fontId="5" fillId="11" borderId="84" xfId="0" applyFont="1" applyFill="1" applyBorder="1" applyAlignment="1">
      <alignment horizontal="center"/>
    </xf>
    <xf numFmtId="0" fontId="5" fillId="11" borderId="85" xfId="0" applyFont="1" applyFill="1" applyBorder="1" applyAlignment="1">
      <alignment horizontal="center"/>
    </xf>
    <xf numFmtId="0" fontId="5" fillId="11" borderId="86" xfId="0" applyFont="1" applyFill="1" applyBorder="1" applyAlignment="1">
      <alignment horizontal="center"/>
    </xf>
    <xf numFmtId="0" fontId="17" fillId="0" borderId="74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" fontId="5" fillId="9" borderId="62" xfId="0" applyNumberFormat="1" applyFont="1" applyFill="1" applyBorder="1" applyAlignment="1">
      <alignment horizontal="center" vertical="center"/>
    </xf>
    <xf numFmtId="1" fontId="5" fillId="9" borderId="63" xfId="0" applyNumberFormat="1" applyFont="1" applyFill="1" applyBorder="1" applyAlignment="1">
      <alignment horizontal="center" vertical="center"/>
    </xf>
    <xf numFmtId="1" fontId="5" fillId="9" borderId="73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8" xfId="0" quotePrefix="1" applyFont="1" applyBorder="1" applyAlignment="1">
      <alignment horizontal="center" vertical="center" wrapText="1"/>
    </xf>
    <xf numFmtId="0" fontId="17" fillId="0" borderId="34" xfId="0" quotePrefix="1" applyFont="1" applyBorder="1" applyAlignment="1">
      <alignment horizontal="center" vertical="center" wrapText="1"/>
    </xf>
    <xf numFmtId="0" fontId="17" fillId="0" borderId="28" xfId="0" quotePrefix="1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" fontId="5" fillId="9" borderId="32" xfId="0" applyNumberFormat="1" applyFont="1" applyFill="1" applyBorder="1" applyAlignment="1">
      <alignment horizontal="center"/>
    </xf>
    <xf numFmtId="1" fontId="5" fillId="9" borderId="34" xfId="0" applyNumberFormat="1" applyFont="1" applyFill="1" applyBorder="1" applyAlignment="1">
      <alignment horizontal="center"/>
    </xf>
    <xf numFmtId="1" fontId="5" fillId="9" borderId="17" xfId="0" applyNumberFormat="1" applyFont="1" applyFill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34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5" fillId="11" borderId="18" xfId="0" applyFont="1" applyFill="1" applyBorder="1" applyAlignment="1">
      <alignment horizontal="center"/>
    </xf>
    <xf numFmtId="0" fontId="5" fillId="11" borderId="34" xfId="0" applyFont="1" applyFill="1" applyBorder="1" applyAlignment="1">
      <alignment horizontal="center"/>
    </xf>
    <xf numFmtId="0" fontId="5" fillId="11" borderId="28" xfId="0" applyFont="1" applyFill="1" applyBorder="1" applyAlignment="1">
      <alignment horizontal="center"/>
    </xf>
    <xf numFmtId="167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0" xfId="0" applyFont="1" applyAlignment="1">
      <alignment horizontal="right"/>
    </xf>
    <xf numFmtId="170" fontId="6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23" xfId="0" applyFont="1" applyBorder="1" applyAlignment="1">
      <alignment horizontal="left"/>
    </xf>
    <xf numFmtId="167" fontId="8" fillId="0" borderId="34" xfId="0" applyNumberFormat="1" applyFont="1" applyBorder="1" applyAlignment="1">
      <alignment horizontal="left"/>
    </xf>
    <xf numFmtId="167" fontId="8" fillId="0" borderId="17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" fontId="8" fillId="0" borderId="0" xfId="0" applyNumberFormat="1" applyFont="1" applyAlignment="1">
      <alignment horizontal="left"/>
    </xf>
    <xf numFmtId="1" fontId="8" fillId="0" borderId="23" xfId="0" applyNumberFormat="1" applyFont="1" applyBorder="1" applyAlignment="1">
      <alignment horizontal="left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49" fontId="8" fillId="0" borderId="34" xfId="0" applyNumberFormat="1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9" fontId="8" fillId="0" borderId="42" xfId="0" applyNumberFormat="1" applyFont="1" applyBorder="1" applyAlignment="1">
      <alignment horizontal="right"/>
    </xf>
    <xf numFmtId="0" fontId="8" fillId="0" borderId="34" xfId="0" applyFont="1" applyBorder="1" applyAlignment="1">
      <alignment horizontal="center"/>
    </xf>
    <xf numFmtId="0" fontId="8" fillId="0" borderId="3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8" fillId="0" borderId="7" xfId="0" quotePrefix="1" applyFont="1" applyBorder="1" applyAlignment="1">
      <alignment horizontal="left"/>
    </xf>
    <xf numFmtId="0" fontId="8" fillId="0" borderId="0" xfId="0" quotePrefix="1" applyFont="1" applyAlignment="1">
      <alignment horizontal="left"/>
    </xf>
    <xf numFmtId="0" fontId="10" fillId="0" borderId="4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164" fontId="8" fillId="0" borderId="41" xfId="0" applyNumberFormat="1" applyFont="1" applyBorder="1" applyAlignment="1">
      <alignment horizontal="center" vertical="center"/>
    </xf>
    <xf numFmtId="164" fontId="8" fillId="0" borderId="42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4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33" xfId="0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3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" fontId="5" fillId="9" borderId="46" xfId="0" applyNumberFormat="1" applyFont="1" applyFill="1" applyBorder="1" applyAlignment="1">
      <alignment horizontal="center" vertical="center"/>
    </xf>
    <xf numFmtId="1" fontId="5" fillId="9" borderId="42" xfId="0" applyNumberFormat="1" applyFont="1" applyFill="1" applyBorder="1" applyAlignment="1">
      <alignment horizontal="center" vertical="center"/>
    </xf>
    <xf numFmtId="1" fontId="5" fillId="9" borderId="43" xfId="0" applyNumberFormat="1" applyFont="1" applyFill="1" applyBorder="1" applyAlignment="1">
      <alignment horizontal="center" vertical="center"/>
    </xf>
    <xf numFmtId="1" fontId="5" fillId="9" borderId="50" xfId="0" applyNumberFormat="1" applyFont="1" applyFill="1" applyBorder="1" applyAlignment="1">
      <alignment horizontal="center" vertical="center"/>
    </xf>
    <xf numFmtId="1" fontId="5" fillId="9" borderId="16" xfId="0" applyNumberFormat="1" applyFont="1" applyFill="1" applyBorder="1" applyAlignment="1">
      <alignment horizontal="center" vertical="center"/>
    </xf>
    <xf numFmtId="1" fontId="5" fillId="9" borderId="58" xfId="0" applyNumberFormat="1" applyFont="1" applyFill="1" applyBorder="1" applyAlignment="1">
      <alignment horizontal="center" vertical="center"/>
    </xf>
    <xf numFmtId="0" fontId="5" fillId="10" borderId="41" xfId="0" applyFont="1" applyFill="1" applyBorder="1" applyAlignment="1">
      <alignment horizontal="center" vertical="center"/>
    </xf>
    <xf numFmtId="0" fontId="5" fillId="10" borderId="60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10" borderId="58" xfId="0" applyFont="1" applyFill="1" applyBorder="1" applyAlignment="1">
      <alignment horizontal="center" vertical="center"/>
    </xf>
    <xf numFmtId="1" fontId="5" fillId="11" borderId="41" xfId="0" applyNumberFormat="1" applyFont="1" applyFill="1" applyBorder="1" applyAlignment="1">
      <alignment horizontal="center" vertical="center"/>
    </xf>
    <xf numFmtId="1" fontId="5" fillId="11" borderId="60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1" fontId="5" fillId="9" borderId="83" xfId="0" applyNumberFormat="1" applyFont="1" applyFill="1" applyBorder="1" applyAlignment="1">
      <alignment horizontal="center"/>
    </xf>
    <xf numFmtId="1" fontId="5" fillId="9" borderId="80" xfId="0" applyNumberFormat="1" applyFont="1" applyFill="1" applyBorder="1" applyAlignment="1">
      <alignment horizontal="center"/>
    </xf>
    <xf numFmtId="1" fontId="5" fillId="9" borderId="82" xfId="0" applyNumberFormat="1" applyFont="1" applyFill="1" applyBorder="1" applyAlignment="1">
      <alignment horizontal="center"/>
    </xf>
    <xf numFmtId="0" fontId="5" fillId="10" borderId="79" xfId="0" applyFont="1" applyFill="1" applyBorder="1" applyAlignment="1">
      <alignment horizontal="center"/>
    </xf>
    <xf numFmtId="0" fontId="5" fillId="10" borderId="80" xfId="0" applyFont="1" applyFill="1" applyBorder="1" applyAlignment="1">
      <alignment horizontal="center"/>
    </xf>
    <xf numFmtId="0" fontId="5" fillId="10" borderId="82" xfId="0" applyFont="1" applyFill="1" applyBorder="1" applyAlignment="1">
      <alignment horizontal="center"/>
    </xf>
    <xf numFmtId="0" fontId="5" fillId="11" borderId="79" xfId="0" applyFont="1" applyFill="1" applyBorder="1" applyAlignment="1">
      <alignment horizontal="center"/>
    </xf>
    <xf numFmtId="0" fontId="5" fillId="11" borderId="80" xfId="0" applyFont="1" applyFill="1" applyBorder="1" applyAlignment="1">
      <alignment horizontal="center"/>
    </xf>
    <xf numFmtId="0" fontId="5" fillId="11" borderId="81" xfId="0" applyFont="1" applyFill="1" applyBorder="1" applyAlignment="1">
      <alignment horizontal="center"/>
    </xf>
    <xf numFmtId="0" fontId="6" fillId="0" borderId="4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horizontal="center" vertical="center"/>
    </xf>
    <xf numFmtId="0" fontId="6" fillId="7" borderId="57" xfId="0" applyFont="1" applyFill="1" applyBorder="1" applyAlignment="1">
      <alignment horizontal="center" vertical="center"/>
    </xf>
    <xf numFmtId="0" fontId="16" fillId="7" borderId="55" xfId="0" applyFont="1" applyFill="1" applyBorder="1" applyAlignment="1">
      <alignment horizontal="center" vertical="center"/>
    </xf>
    <xf numFmtId="0" fontId="27" fillId="7" borderId="56" xfId="0" applyFont="1" applyFill="1" applyBorder="1" applyAlignment="1">
      <alignment horizontal="center" vertical="center"/>
    </xf>
    <xf numFmtId="0" fontId="27" fillId="7" borderId="57" xfId="0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6" fillId="7" borderId="62" xfId="0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horizontal="center" vertical="center"/>
    </xf>
    <xf numFmtId="0" fontId="6" fillId="7" borderId="64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49" fontId="17" fillId="0" borderId="59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54" xfId="0" applyNumberFormat="1" applyFont="1" applyBorder="1" applyAlignment="1">
      <alignment horizontal="center" vertical="center" wrapText="1"/>
    </xf>
    <xf numFmtId="49" fontId="17" fillId="0" borderId="35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44" xfId="0" applyNumberFormat="1" applyFont="1" applyBorder="1" applyAlignment="1">
      <alignment horizontal="center" vertical="center" wrapText="1"/>
    </xf>
    <xf numFmtId="49" fontId="17" fillId="0" borderId="45" xfId="0" applyNumberFormat="1" applyFont="1" applyBorder="1" applyAlignment="1">
      <alignment horizontal="center" vertical="center" wrapText="1"/>
    </xf>
    <xf numFmtId="49" fontId="17" fillId="0" borderId="24" xfId="0" applyNumberFormat="1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44" xfId="0" applyFont="1" applyBorder="1" applyAlignment="1">
      <alignment horizontal="center" wrapText="1"/>
    </xf>
    <xf numFmtId="0" fontId="17" fillId="0" borderId="45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7" borderId="0" xfId="0" applyFill="1" applyAlignment="1">
      <alignment horizontal="right"/>
    </xf>
    <xf numFmtId="0" fontId="22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0" fillId="12" borderId="7" xfId="0" applyFont="1" applyFill="1" applyBorder="1" applyAlignment="1">
      <alignment horizontal="left" vertical="center"/>
    </xf>
    <xf numFmtId="0" fontId="20" fillId="12" borderId="0" xfId="0" applyFont="1" applyFill="1" applyAlignment="1">
      <alignment horizontal="left" vertical="center"/>
    </xf>
    <xf numFmtId="0" fontId="20" fillId="12" borderId="8" xfId="0" applyFont="1" applyFill="1" applyBorder="1" applyAlignment="1">
      <alignment horizontal="left" vertical="center"/>
    </xf>
    <xf numFmtId="0" fontId="19" fillId="6" borderId="0" xfId="0" applyFont="1" applyFill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19" fillId="6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top" wrapText="1"/>
    </xf>
    <xf numFmtId="0" fontId="21" fillId="0" borderId="42" xfId="0" applyFont="1" applyBorder="1" applyAlignment="1">
      <alignment horizontal="center" vertical="top" wrapText="1"/>
    </xf>
    <xf numFmtId="0" fontId="21" fillId="0" borderId="47" xfId="0" applyFont="1" applyBorder="1" applyAlignment="1">
      <alignment horizontal="center" vertical="top" wrapText="1"/>
    </xf>
    <xf numFmtId="0" fontId="21" fillId="0" borderId="3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36" xfId="0" applyFont="1" applyBorder="1" applyAlignment="1">
      <alignment horizontal="center" vertical="top" wrapText="1"/>
    </xf>
    <xf numFmtId="0" fontId="21" fillId="0" borderId="33" xfId="0" applyFont="1" applyBorder="1" applyAlignment="1">
      <alignment horizontal="center" vertical="top" wrapText="1"/>
    </xf>
    <xf numFmtId="0" fontId="21" fillId="0" borderId="49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9" fillId="6" borderId="42" xfId="0" applyFont="1" applyFill="1" applyBorder="1" applyAlignment="1">
      <alignment horizontal="center"/>
    </xf>
    <xf numFmtId="0" fontId="19" fillId="6" borderId="47" xfId="0" applyFont="1" applyFill="1" applyBorder="1" applyAlignment="1">
      <alignment horizontal="center"/>
    </xf>
    <xf numFmtId="0" fontId="19" fillId="6" borderId="46" xfId="0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9" fillId="6" borderId="33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9" xfId="0" applyBorder="1" applyAlignment="1">
      <alignment horizontal="center"/>
    </xf>
    <xf numFmtId="0" fontId="20" fillId="7" borderId="7" xfId="0" applyFont="1" applyFill="1" applyBorder="1" applyAlignment="1">
      <alignment horizontal="left" vertical="center"/>
    </xf>
    <xf numFmtId="0" fontId="20" fillId="7" borderId="0" xfId="0" applyFont="1" applyFill="1" applyAlignment="1">
      <alignment horizontal="left" vertical="center"/>
    </xf>
    <xf numFmtId="0" fontId="20" fillId="7" borderId="42" xfId="0" applyFont="1" applyFill="1" applyBorder="1" applyAlignment="1">
      <alignment horizontal="left" vertical="center"/>
    </xf>
    <xf numFmtId="0" fontId="0" fillId="7" borderId="42" xfId="0" applyFill="1" applyBorder="1" applyAlignment="1">
      <alignment horizontal="left" vertical="center"/>
    </xf>
    <xf numFmtId="0" fontId="0" fillId="7" borderId="47" xfId="0" applyFill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23" fillId="0" borderId="41" xfId="0" applyFont="1" applyBorder="1" applyAlignment="1">
      <alignment horizontal="center" vertical="top" wrapText="1"/>
    </xf>
    <xf numFmtId="0" fontId="23" fillId="0" borderId="42" xfId="0" applyFont="1" applyBorder="1" applyAlignment="1">
      <alignment horizontal="center" vertical="top" wrapText="1"/>
    </xf>
    <xf numFmtId="0" fontId="23" fillId="0" borderId="47" xfId="0" applyFont="1" applyBorder="1" applyAlignment="1">
      <alignment horizontal="center" vertical="top" wrapText="1"/>
    </xf>
    <xf numFmtId="0" fontId="23" fillId="0" borderId="35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33" xfId="0" applyFont="1" applyBorder="1" applyAlignment="1">
      <alignment horizontal="center" vertical="top" wrapText="1"/>
    </xf>
    <xf numFmtId="0" fontId="23" fillId="0" borderId="49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165" fontId="21" fillId="0" borderId="6" xfId="0" applyNumberFormat="1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165" fontId="21" fillId="7" borderId="1" xfId="0" applyNumberFormat="1" applyFont="1" applyFill="1" applyBorder="1" applyAlignment="1">
      <alignment horizontal="center" vertical="center"/>
    </xf>
    <xf numFmtId="165" fontId="21" fillId="7" borderId="6" xfId="0" applyNumberFormat="1" applyFont="1" applyFill="1" applyBorder="1" applyAlignment="1">
      <alignment horizontal="center" vertical="center"/>
    </xf>
    <xf numFmtId="0" fontId="21" fillId="7" borderId="18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165" fontId="21" fillId="7" borderId="18" xfId="0" applyNumberFormat="1" applyFont="1" applyFill="1" applyBorder="1" applyAlignment="1">
      <alignment horizontal="center" vertical="center"/>
    </xf>
    <xf numFmtId="165" fontId="21" fillId="7" borderId="28" xfId="0" applyNumberFormat="1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65" fontId="21" fillId="0" borderId="18" xfId="0" applyNumberFormat="1" applyFont="1" applyBorder="1" applyAlignment="1">
      <alignment horizontal="center" vertical="center"/>
    </xf>
    <xf numFmtId="165" fontId="21" fillId="0" borderId="2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9" fillId="6" borderId="34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6" borderId="67" xfId="0" applyFont="1" applyFill="1" applyBorder="1" applyAlignment="1">
      <alignment horizontal="center"/>
    </xf>
    <xf numFmtId="0" fontId="19" fillId="6" borderId="68" xfId="0" applyFont="1" applyFill="1" applyBorder="1" applyAlignment="1">
      <alignment horizontal="center"/>
    </xf>
    <xf numFmtId="0" fontId="19" fillId="6" borderId="6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55" xfId="0" applyFont="1" applyBorder="1" applyAlignment="1">
      <alignment horizontal="left"/>
    </xf>
    <xf numFmtId="0" fontId="1" fillId="0" borderId="56" xfId="0" applyFont="1" applyBorder="1" applyAlignment="1">
      <alignment horizontal="left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21" fillId="0" borderId="2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77">
    <dxf>
      <font>
        <strike/>
        <color auto="1"/>
      </font>
      <fill>
        <patternFill>
          <bgColor theme="6"/>
        </patternFill>
      </fill>
    </dxf>
    <dxf>
      <font>
        <strike/>
        <color auto="1"/>
      </font>
      <fill>
        <patternFill>
          <bgColor theme="6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  <color auto="1"/>
      </font>
      <fill>
        <patternFill>
          <bgColor theme="6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strike/>
        <color auto="1"/>
      </font>
      <fill>
        <patternFill>
          <bgColor theme="6"/>
        </patternFill>
      </fill>
    </dxf>
    <dxf>
      <font>
        <strike/>
        <color auto="1"/>
      </font>
      <fill>
        <patternFill>
          <bgColor theme="6"/>
        </patternFill>
      </fill>
    </dxf>
    <dxf>
      <font>
        <strike/>
        <color auto="1"/>
      </font>
      <fill>
        <patternFill>
          <bgColor theme="6"/>
        </patternFill>
      </fill>
    </dxf>
    <dxf>
      <font>
        <strike/>
        <color auto="1"/>
      </font>
      <fill>
        <patternFill>
          <bgColor theme="6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</font>
      <fill>
        <patternFill>
          <bgColor theme="6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6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6"/>
        </patternFill>
      </fill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protection locked="1" hidden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  <border diagonalUp="0" diagonalDown="0" outline="0">
        <left/>
        <right style="medium">
          <color indexed="64"/>
        </right>
        <top/>
        <bottom/>
      </border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0.0"/>
    </dxf>
    <dxf>
      <numFmt numFmtId="164" formatCode="0.0"/>
    </dxf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FF9797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 and Longitudinal CG Envelope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234918469836939E-2"/>
          <c:y val="9.3888888888888883E-2"/>
          <c:w val="0.86401967470601604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Tables'!$B$11:$B$18</c:f>
              <c:numCache>
                <c:formatCode>General</c:formatCode>
                <c:ptCount val="8"/>
                <c:pt idx="0">
                  <c:v>140.9</c:v>
                </c:pt>
                <c:pt idx="1">
                  <c:v>140.9</c:v>
                </c:pt>
                <c:pt idx="2">
                  <c:v>138.9</c:v>
                </c:pt>
                <c:pt idx="3">
                  <c:v>136.1</c:v>
                </c:pt>
                <c:pt idx="4">
                  <c:v>129.30000000000001</c:v>
                </c:pt>
                <c:pt idx="5">
                  <c:v>129.30000000000001</c:v>
                </c:pt>
                <c:pt idx="6">
                  <c:v>133.5</c:v>
                </c:pt>
                <c:pt idx="7">
                  <c:v>140.9</c:v>
                </c:pt>
              </c:numCache>
            </c:numRef>
          </c:xVal>
          <c:yVal>
            <c:numRef>
              <c:f>'Reference Tables'!$A$11:$A$18</c:f>
              <c:numCache>
                <c:formatCode>General</c:formatCode>
                <c:ptCount val="8"/>
                <c:pt idx="0">
                  <c:v>6283</c:v>
                </c:pt>
                <c:pt idx="1">
                  <c:v>3803</c:v>
                </c:pt>
                <c:pt idx="2">
                  <c:v>3803</c:v>
                </c:pt>
                <c:pt idx="3">
                  <c:v>3995</c:v>
                </c:pt>
                <c:pt idx="4">
                  <c:v>4762</c:v>
                </c:pt>
                <c:pt idx="5">
                  <c:v>5580</c:v>
                </c:pt>
                <c:pt idx="6">
                  <c:v>6283</c:v>
                </c:pt>
                <c:pt idx="7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82-4CE4-A10E-B6270CCF6DE4}"/>
            </c:ext>
          </c:extLst>
        </c:ser>
        <c:ser>
          <c:idx val="4"/>
          <c:order val="1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Tables'!$B$43:$B$51</c:f>
              <c:numCache>
                <c:formatCode>General</c:formatCode>
                <c:ptCount val="9"/>
                <c:pt idx="0">
                  <c:v>138.69999999999999</c:v>
                </c:pt>
                <c:pt idx="1">
                  <c:v>140.9</c:v>
                </c:pt>
                <c:pt idx="2">
                  <c:v>140.9</c:v>
                </c:pt>
                <c:pt idx="3">
                  <c:v>138.9</c:v>
                </c:pt>
                <c:pt idx="4">
                  <c:v>136.1</c:v>
                </c:pt>
                <c:pt idx="5">
                  <c:v>131.6</c:v>
                </c:pt>
                <c:pt idx="6">
                  <c:v>131.6</c:v>
                </c:pt>
                <c:pt idx="7">
                  <c:v>134.30000000000001</c:v>
                </c:pt>
                <c:pt idx="8">
                  <c:v>138.69999999999999</c:v>
                </c:pt>
              </c:numCache>
            </c:numRef>
          </c:xVal>
          <c:yVal>
            <c:numRef>
              <c:f>'Reference Tables'!$A$43:$A$51</c:f>
              <c:numCache>
                <c:formatCode>General</c:formatCode>
                <c:ptCount val="9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3995</c:v>
                </c:pt>
                <c:pt idx="5">
                  <c:v>4504</c:v>
                </c:pt>
                <c:pt idx="6">
                  <c:v>6283</c:v>
                </c:pt>
                <c:pt idx="7">
                  <c:v>6944</c:v>
                </c:pt>
                <c:pt idx="8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82-4CE4-A10E-B6270CCF6DE4}"/>
            </c:ext>
          </c:extLst>
        </c:ser>
        <c:ser>
          <c:idx val="2"/>
          <c:order val="2"/>
          <c:tx>
            <c:v>CG (Hoist)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'Reference Tables'!$I$249</c:f>
            </c:numRef>
          </c:xVal>
          <c:yVal>
            <c:numRef>
              <c:f>'Reference Tables'!$D$249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82-4CE4-A10E-B6270CCF6DE4}"/>
            </c:ext>
          </c:extLst>
        </c:ser>
        <c:ser>
          <c:idx val="1"/>
          <c:order val="3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('Reference Tables'!$I$247,'Reference Tables'!$I$248)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('Reference Tables'!$D$247,'Reference Tables'!$D$248)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82-4CE4-A10E-B6270CCF6DE4}"/>
            </c:ext>
          </c:extLst>
        </c:ser>
        <c:ser>
          <c:idx val="3"/>
          <c:order val="4"/>
          <c:tx>
            <c:v>CG (Hook)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'Reference Tables'!$I$250</c:f>
            </c:numRef>
          </c:xVal>
          <c:yVal>
            <c:numRef>
              <c:f>'Reference Tables'!$D$250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382-4CE4-A10E-B6270CCF6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146"/>
          <c:min val="12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Longitudinal Station (in.)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2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Gross Weight (lbs)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 val="autoZero"/>
        <c:crossBetween val="midCat"/>
        <c:majorUnit val="500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31841885905994"/>
          <c:y val="0.76065850504607058"/>
          <c:w val="0.85094205743967044"/>
          <c:h val="0.1039435637771211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 and Lateral CG Envelope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016831676201328E-2"/>
          <c:y val="9.3888888888888883E-2"/>
          <c:w val="0.87181158655436153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Tables'!$B$23:$B$29</c:f>
              <c:numCache>
                <c:formatCode>General</c:formatCode>
                <c:ptCount val="7"/>
                <c:pt idx="0">
                  <c:v>2.1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2.1</c:v>
                </c:pt>
              </c:numCache>
            </c:numRef>
          </c:xVal>
          <c:yVal>
            <c:numRef>
              <c:f>'Reference Tables'!$A$23:$A$29</c:f>
              <c:numCache>
                <c:formatCode>General</c:formatCode>
                <c:ptCount val="7"/>
                <c:pt idx="0">
                  <c:v>6283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BB-4C22-8DE8-850D575BFC79}"/>
            </c:ext>
          </c:extLst>
        </c:ser>
        <c:ser>
          <c:idx val="2"/>
          <c:order val="1"/>
          <c:tx>
            <c:v>Limit (Hoist Ops)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'Reference Tables'!$B$33:$B$39</c:f>
              <c:numCache>
                <c:formatCode>General</c:formatCode>
                <c:ptCount val="7"/>
                <c:pt idx="0">
                  <c:v>7.1</c:v>
                </c:pt>
                <c:pt idx="1">
                  <c:v>7.9</c:v>
                </c:pt>
                <c:pt idx="2">
                  <c:v>7.9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7.1</c:v>
                </c:pt>
              </c:numCache>
            </c:numRef>
          </c:xVal>
          <c:yVal>
            <c:numRef>
              <c:f>'Reference Tables'!$A$33:$A$39</c:f>
              <c:numCache>
                <c:formatCode>General</c:formatCode>
                <c:ptCount val="7"/>
                <c:pt idx="0">
                  <c:v>6283</c:v>
                </c:pt>
                <c:pt idx="1">
                  <c:v>5997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BB-4C22-8DE8-850D575BFC79}"/>
            </c:ext>
          </c:extLst>
        </c:ser>
        <c:ser>
          <c:idx val="3"/>
          <c:order val="2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Tables'!$B$55:$B$61</c:f>
              <c:numCache>
                <c:formatCode>General</c:formatCode>
                <c:ptCount val="7"/>
                <c:pt idx="0">
                  <c:v>1.9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-1.9</c:v>
                </c:pt>
                <c:pt idx="6">
                  <c:v>1.9</c:v>
                </c:pt>
              </c:numCache>
            </c:numRef>
          </c:xVal>
          <c:yVal>
            <c:numRef>
              <c:f>'Reference Tables'!$A$55:$A$61</c:f>
              <c:numCache>
                <c:formatCode>General</c:formatCode>
                <c:ptCount val="7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6944</c:v>
                </c:pt>
                <c:pt idx="6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BB-4C22-8DE8-850D575BFC79}"/>
            </c:ext>
          </c:extLst>
        </c:ser>
        <c:ser>
          <c:idx val="1"/>
          <c:order val="3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lt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('Reference Tables'!$J$247,'Reference Tables'!$J$248)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('Reference Tables'!$D$247,'Reference Tables'!$D$248)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BB-4C22-8DE8-850D575BFC79}"/>
            </c:ext>
          </c:extLst>
        </c:ser>
        <c:ser>
          <c:idx val="4"/>
          <c:order val="4"/>
          <c:tx>
            <c:v>CG (Hoist)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'Reference Tables'!$J$249</c:f>
            </c:numRef>
          </c:xVal>
          <c:yVal>
            <c:numRef>
              <c:f>'Reference Tables'!$D$249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BB-4C22-8DE8-850D575BFC79}"/>
            </c:ext>
          </c:extLst>
        </c:ser>
        <c:ser>
          <c:idx val="5"/>
          <c:order val="5"/>
          <c:tx>
            <c:v>CG (Hook)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'Reference Tables'!$J$250</c:f>
            </c:numRef>
          </c:xVal>
          <c:yVal>
            <c:numRef>
              <c:f>'Reference Tables'!$D$250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BB-4C22-8DE8-850D575BF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10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Lateral Station (in.)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1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Gross Weight (lbs)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At val="-100"/>
        <c:crossBetween val="midCat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456597222222225"/>
          <c:y val="0.76472054644263843"/>
          <c:w val="0.84711805555555553"/>
          <c:h val="9.9926836423170712E-2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</a:t>
            </a:r>
            <a:r>
              <a:rPr lang="en-US" baseline="0"/>
              <a:t> and Longitudinal CG Envelope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67153324584426E-2"/>
          <c:y val="9.3888888888888883E-2"/>
          <c:w val="0.87451826334208216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Tables'!$D$11:$D$18</c:f>
              <c:numCache>
                <c:formatCode>General</c:formatCode>
                <c:ptCount val="8"/>
                <c:pt idx="0">
                  <c:v>3580</c:v>
                </c:pt>
                <c:pt idx="1">
                  <c:v>3580</c:v>
                </c:pt>
                <c:pt idx="2">
                  <c:v>3528</c:v>
                </c:pt>
                <c:pt idx="3">
                  <c:v>3457</c:v>
                </c:pt>
                <c:pt idx="4">
                  <c:v>3284</c:v>
                </c:pt>
                <c:pt idx="5">
                  <c:v>3284</c:v>
                </c:pt>
                <c:pt idx="6">
                  <c:v>3392</c:v>
                </c:pt>
                <c:pt idx="7">
                  <c:v>3580</c:v>
                </c:pt>
              </c:numCache>
            </c:numRef>
          </c:xVal>
          <c:yVal>
            <c:numRef>
              <c:f>'Reference Tables'!$C$11:$C$18</c:f>
              <c:numCache>
                <c:formatCode>General</c:formatCode>
                <c:ptCount val="8"/>
                <c:pt idx="0">
                  <c:v>2850</c:v>
                </c:pt>
                <c:pt idx="1">
                  <c:v>1725</c:v>
                </c:pt>
                <c:pt idx="2">
                  <c:v>1725</c:v>
                </c:pt>
                <c:pt idx="3">
                  <c:v>1812</c:v>
                </c:pt>
                <c:pt idx="4">
                  <c:v>2160</c:v>
                </c:pt>
                <c:pt idx="5">
                  <c:v>2531</c:v>
                </c:pt>
                <c:pt idx="6">
                  <c:v>2850</c:v>
                </c:pt>
                <c:pt idx="7">
                  <c:v>2850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78-4F07-B3E6-CF018F0F79F6}"/>
            </c:ext>
          </c:extLst>
        </c:ser>
        <c:ser>
          <c:idx val="4"/>
          <c:order val="1"/>
          <c:tx>
            <c:v>Limit (Hook Ops)</c:v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Tables'!$D$43:$D$51</c:f>
              <c:numCache>
                <c:formatCode>General</c:formatCode>
                <c:ptCount val="9"/>
                <c:pt idx="0">
                  <c:v>3524</c:v>
                </c:pt>
                <c:pt idx="1">
                  <c:v>3580</c:v>
                </c:pt>
                <c:pt idx="2">
                  <c:v>3580</c:v>
                </c:pt>
                <c:pt idx="3">
                  <c:v>3528</c:v>
                </c:pt>
                <c:pt idx="4">
                  <c:v>3457</c:v>
                </c:pt>
                <c:pt idx="5">
                  <c:v>3342</c:v>
                </c:pt>
                <c:pt idx="6">
                  <c:v>3342</c:v>
                </c:pt>
                <c:pt idx="7">
                  <c:v>3410</c:v>
                </c:pt>
                <c:pt idx="8">
                  <c:v>3524</c:v>
                </c:pt>
              </c:numCache>
            </c:numRef>
          </c:xVal>
          <c:yVal>
            <c:numRef>
              <c:f>'Reference Tables'!$C$43:$C$51</c:f>
              <c:numCache>
                <c:formatCode>General</c:formatCode>
                <c:ptCount val="9"/>
                <c:pt idx="0">
                  <c:v>3150</c:v>
                </c:pt>
                <c:pt idx="1">
                  <c:v>2450</c:v>
                </c:pt>
                <c:pt idx="2">
                  <c:v>1725</c:v>
                </c:pt>
                <c:pt idx="3">
                  <c:v>1725</c:v>
                </c:pt>
                <c:pt idx="4">
                  <c:v>1812</c:v>
                </c:pt>
                <c:pt idx="5">
                  <c:v>2043</c:v>
                </c:pt>
                <c:pt idx="6">
                  <c:v>2850</c:v>
                </c:pt>
                <c:pt idx="7">
                  <c:v>3150</c:v>
                </c:pt>
                <c:pt idx="8">
                  <c:v>3150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07-CC47-BB16-BEAF45556AB1}"/>
            </c:ext>
          </c:extLst>
        </c:ser>
        <c:ser>
          <c:idx val="1"/>
          <c:order val="2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('Chart E W&amp;B Form'!$I$26,'Chart E W&amp;B Form'!$I$28)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('Chart E W&amp;B Form'!$D$26,'Chart E W&amp;B Form'!$D$28)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378-4F07-B3E6-CF018F0F79F6}"/>
            </c:ext>
          </c:extLst>
        </c:ser>
        <c:ser>
          <c:idx val="2"/>
          <c:order val="3"/>
          <c:tx>
            <c:v>Hoist Ops CG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'Chart E W&amp;B Form'!$I$31</c:f>
            </c:numRef>
          </c:xVal>
          <c:yVal>
            <c:numRef>
              <c:f>'Chart E W&amp;B Form'!$D$31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07-CC47-BB16-BEAF45556AB1}"/>
            </c:ext>
          </c:extLst>
        </c:ser>
        <c:ser>
          <c:idx val="3"/>
          <c:order val="4"/>
          <c:tx>
            <c:v>Hook Ops CG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'Chart E W&amp;B Form'!$I$33</c:f>
            </c:numRef>
          </c:xVal>
          <c:yVal>
            <c:numRef>
              <c:f>'Chart E W&amp;B Form'!$D$33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07-CC47-BB16-BEAF45556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3700"/>
          <c:min val="3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Longitudinal Station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inorUnit val="50"/>
      </c:valAx>
      <c:valAx>
        <c:axId val="582311696"/>
        <c:scaling>
          <c:orientation val="minMax"/>
          <c:max val="3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Gross Weight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 val="autoZero"/>
        <c:crossBetween val="midCat"/>
        <c:min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418158191915599"/>
          <c:y val="0.79010702995005588"/>
          <c:w val="0.81594635149977568"/>
          <c:h val="7.4495085100523634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</a:t>
            </a:r>
            <a:r>
              <a:rPr lang="en-US" baseline="0"/>
              <a:t> and Lateral CG Envelope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67153324584426E-2"/>
          <c:y val="9.3888888888888883E-2"/>
          <c:w val="0.87538631889763785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Tables'!$D$23:$D$29</c:f>
              <c:numCache>
                <c:formatCode>General</c:formatCode>
                <c:ptCount val="7"/>
                <c:pt idx="0">
                  <c:v>53</c:v>
                </c:pt>
                <c:pt idx="1">
                  <c:v>60</c:v>
                </c:pt>
                <c:pt idx="2">
                  <c:v>60</c:v>
                </c:pt>
                <c:pt idx="3">
                  <c:v>-60</c:v>
                </c:pt>
                <c:pt idx="4">
                  <c:v>-60</c:v>
                </c:pt>
                <c:pt idx="5">
                  <c:v>-53</c:v>
                </c:pt>
                <c:pt idx="6">
                  <c:v>53</c:v>
                </c:pt>
              </c:numCache>
            </c:numRef>
          </c:xVal>
          <c:yVal>
            <c:numRef>
              <c:f>'Reference Tables'!$C$23:$C$29</c:f>
              <c:numCache>
                <c:formatCode>General</c:formatCode>
                <c:ptCount val="7"/>
                <c:pt idx="0">
                  <c:v>2850</c:v>
                </c:pt>
                <c:pt idx="1">
                  <c:v>2450</c:v>
                </c:pt>
                <c:pt idx="2">
                  <c:v>1725</c:v>
                </c:pt>
                <c:pt idx="3">
                  <c:v>1725</c:v>
                </c:pt>
                <c:pt idx="4">
                  <c:v>2450</c:v>
                </c:pt>
                <c:pt idx="5">
                  <c:v>2850</c:v>
                </c:pt>
                <c:pt idx="6">
                  <c:v>2850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27-4B77-9D90-DB3A50DD3B3B}"/>
            </c:ext>
          </c:extLst>
        </c:ser>
        <c:ser>
          <c:idx val="2"/>
          <c:order val="1"/>
          <c:tx>
            <c:v>Limit (Hoist Ops)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'Reference Tables'!$D$33:$D$39</c:f>
              <c:numCache>
                <c:formatCode>General</c:formatCode>
                <c:ptCount val="7"/>
                <c:pt idx="0">
                  <c:v>180</c:v>
                </c:pt>
                <c:pt idx="1">
                  <c:v>200</c:v>
                </c:pt>
                <c:pt idx="2">
                  <c:v>200</c:v>
                </c:pt>
                <c:pt idx="3">
                  <c:v>-60</c:v>
                </c:pt>
                <c:pt idx="4">
                  <c:v>-60</c:v>
                </c:pt>
                <c:pt idx="5">
                  <c:v>-53</c:v>
                </c:pt>
                <c:pt idx="6">
                  <c:v>180</c:v>
                </c:pt>
              </c:numCache>
            </c:numRef>
          </c:xVal>
          <c:yVal>
            <c:numRef>
              <c:f>'Reference Tables'!$C$33:$C$39</c:f>
              <c:numCache>
                <c:formatCode>General</c:formatCode>
                <c:ptCount val="7"/>
                <c:pt idx="0">
                  <c:v>2850</c:v>
                </c:pt>
                <c:pt idx="1">
                  <c:v>2720</c:v>
                </c:pt>
                <c:pt idx="2">
                  <c:v>1725</c:v>
                </c:pt>
                <c:pt idx="3">
                  <c:v>1725</c:v>
                </c:pt>
                <c:pt idx="4">
                  <c:v>2450</c:v>
                </c:pt>
                <c:pt idx="5">
                  <c:v>2850</c:v>
                </c:pt>
                <c:pt idx="6">
                  <c:v>2850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46-B34D-A41A-AEA9C127B785}"/>
            </c:ext>
          </c:extLst>
        </c:ser>
        <c:ser>
          <c:idx val="3"/>
          <c:order val="2"/>
          <c:tx>
            <c:v>Limit (Hook Ops)</c:v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Tables'!$D$55:$D$61</c:f>
              <c:numCache>
                <c:formatCode>General</c:formatCode>
                <c:ptCount val="7"/>
                <c:pt idx="0">
                  <c:v>48</c:v>
                </c:pt>
                <c:pt idx="1">
                  <c:v>60</c:v>
                </c:pt>
                <c:pt idx="2">
                  <c:v>60</c:v>
                </c:pt>
                <c:pt idx="3">
                  <c:v>-60</c:v>
                </c:pt>
                <c:pt idx="4">
                  <c:v>-60</c:v>
                </c:pt>
                <c:pt idx="5">
                  <c:v>-48</c:v>
                </c:pt>
                <c:pt idx="6">
                  <c:v>48</c:v>
                </c:pt>
              </c:numCache>
            </c:numRef>
          </c:xVal>
          <c:yVal>
            <c:numRef>
              <c:f>'Reference Tables'!$C$55:$C$61</c:f>
              <c:numCache>
                <c:formatCode>General</c:formatCode>
                <c:ptCount val="7"/>
                <c:pt idx="0">
                  <c:v>3150</c:v>
                </c:pt>
                <c:pt idx="1">
                  <c:v>2450</c:v>
                </c:pt>
                <c:pt idx="2">
                  <c:v>1725</c:v>
                </c:pt>
                <c:pt idx="3">
                  <c:v>1725</c:v>
                </c:pt>
                <c:pt idx="4">
                  <c:v>2450</c:v>
                </c:pt>
                <c:pt idx="5">
                  <c:v>3150</c:v>
                </c:pt>
                <c:pt idx="6">
                  <c:v>3150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46-B34D-A41A-AEA9C127B785}"/>
            </c:ext>
          </c:extLst>
        </c:ser>
        <c:ser>
          <c:idx val="1"/>
          <c:order val="3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lt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('Chart E W&amp;B Form'!$J$26,'Chart E W&amp;B Form'!$J$28)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('Chart E W&amp;B Form'!$D$26,'Chart E W&amp;B Form'!$D$28)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27-4B77-9D90-DB3A50DD3B3B}"/>
            </c:ext>
          </c:extLst>
        </c:ser>
        <c:ser>
          <c:idx val="4"/>
          <c:order val="4"/>
          <c:tx>
            <c:v>CG (Hoist)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'Chart E W&amp;B Form'!$J$31</c:f>
            </c:numRef>
          </c:xVal>
          <c:yVal>
            <c:numRef>
              <c:f>'Chart E W&amp;B Form'!$D$31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46-B34D-A41A-AEA9C127B785}"/>
            </c:ext>
          </c:extLst>
        </c:ser>
        <c:ser>
          <c:idx val="5"/>
          <c:order val="5"/>
          <c:tx>
            <c:v>CG (Hook)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'Chart E W&amp;B Form'!$J$33</c:f>
            </c:numRef>
          </c:xVal>
          <c:yVal>
            <c:numRef>
              <c:f>'Chart E W&amp;B Form'!$D$33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46-B34D-A41A-AEA9C127B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240"/>
          <c:min val="-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Lateral Station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20"/>
        <c:minorUnit val="10"/>
      </c:valAx>
      <c:valAx>
        <c:axId val="582311696"/>
        <c:scaling>
          <c:orientation val="minMax"/>
          <c:max val="3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Gross Weight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At val="-100"/>
        <c:crossBetween val="midCat"/>
        <c:min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456597222222225"/>
          <c:y val="0.80398840769903757"/>
          <c:w val="0.84711805555555553"/>
          <c:h val="6.0658792650918635E-2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</a:t>
            </a:r>
            <a:r>
              <a:rPr lang="en-US" baseline="0"/>
              <a:t> and Longitudinal CG Envelope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67153324584426E-2"/>
          <c:y val="9.3888888888888883E-2"/>
          <c:w val="0.87451826334208216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Tables'!$B$11:$B$18</c:f>
              <c:numCache>
                <c:formatCode>General</c:formatCode>
                <c:ptCount val="8"/>
                <c:pt idx="0">
                  <c:v>140.9</c:v>
                </c:pt>
                <c:pt idx="1">
                  <c:v>140.9</c:v>
                </c:pt>
                <c:pt idx="2">
                  <c:v>138.9</c:v>
                </c:pt>
                <c:pt idx="3">
                  <c:v>136.1</c:v>
                </c:pt>
                <c:pt idx="4">
                  <c:v>129.30000000000001</c:v>
                </c:pt>
                <c:pt idx="5">
                  <c:v>129.30000000000001</c:v>
                </c:pt>
                <c:pt idx="6">
                  <c:v>133.5</c:v>
                </c:pt>
                <c:pt idx="7">
                  <c:v>140.9</c:v>
                </c:pt>
              </c:numCache>
            </c:numRef>
          </c:xVal>
          <c:yVal>
            <c:numRef>
              <c:f>'Reference Tables'!$A$11:$A$18</c:f>
              <c:numCache>
                <c:formatCode>General</c:formatCode>
                <c:ptCount val="8"/>
                <c:pt idx="0">
                  <c:v>6283</c:v>
                </c:pt>
                <c:pt idx="1">
                  <c:v>3803</c:v>
                </c:pt>
                <c:pt idx="2">
                  <c:v>3803</c:v>
                </c:pt>
                <c:pt idx="3">
                  <c:v>3995</c:v>
                </c:pt>
                <c:pt idx="4">
                  <c:v>4762</c:v>
                </c:pt>
                <c:pt idx="5">
                  <c:v>5580</c:v>
                </c:pt>
                <c:pt idx="6">
                  <c:v>6283</c:v>
                </c:pt>
                <c:pt idx="7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49-44AA-98F9-8C9F320D73CE}"/>
            </c:ext>
          </c:extLst>
        </c:ser>
        <c:ser>
          <c:idx val="4"/>
          <c:order val="1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Tables'!$B$43:$B$51</c:f>
              <c:numCache>
                <c:formatCode>General</c:formatCode>
                <c:ptCount val="9"/>
                <c:pt idx="0">
                  <c:v>138.69999999999999</c:v>
                </c:pt>
                <c:pt idx="1">
                  <c:v>140.9</c:v>
                </c:pt>
                <c:pt idx="2">
                  <c:v>140.9</c:v>
                </c:pt>
                <c:pt idx="3">
                  <c:v>138.9</c:v>
                </c:pt>
                <c:pt idx="4">
                  <c:v>136.1</c:v>
                </c:pt>
                <c:pt idx="5">
                  <c:v>131.6</c:v>
                </c:pt>
                <c:pt idx="6">
                  <c:v>131.6</c:v>
                </c:pt>
                <c:pt idx="7">
                  <c:v>134.30000000000001</c:v>
                </c:pt>
                <c:pt idx="8">
                  <c:v>138.69999999999999</c:v>
                </c:pt>
              </c:numCache>
            </c:numRef>
          </c:xVal>
          <c:yVal>
            <c:numRef>
              <c:f>'Reference Tables'!$A$43:$A$51</c:f>
              <c:numCache>
                <c:formatCode>General</c:formatCode>
                <c:ptCount val="9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3995</c:v>
                </c:pt>
                <c:pt idx="5">
                  <c:v>4504</c:v>
                </c:pt>
                <c:pt idx="6">
                  <c:v>6283</c:v>
                </c:pt>
                <c:pt idx="7">
                  <c:v>6944</c:v>
                </c:pt>
                <c:pt idx="8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49-44AA-98F9-8C9F320D73CE}"/>
            </c:ext>
          </c:extLst>
        </c:ser>
        <c:ser>
          <c:idx val="1"/>
          <c:order val="2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('Reference Tables'!$I$247,'Reference Tables'!$I$248)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('Reference Tables'!$D$247,'Reference Tables'!$D$248)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49-44AA-98F9-8C9F320D73CE}"/>
            </c:ext>
          </c:extLst>
        </c:ser>
        <c:ser>
          <c:idx val="2"/>
          <c:order val="3"/>
          <c:tx>
            <c:v>Hoist Ops CG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'Reference Tables'!$I$249</c:f>
            </c:numRef>
          </c:xVal>
          <c:yVal>
            <c:numRef>
              <c:f>'Reference Tables'!$D$249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49-44AA-98F9-8C9F320D73CE}"/>
            </c:ext>
          </c:extLst>
        </c:ser>
        <c:ser>
          <c:idx val="3"/>
          <c:order val="4"/>
          <c:tx>
            <c:v>Hook Ops CG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'Reference Tables'!$I$250</c:f>
            </c:numRef>
          </c:xVal>
          <c:yVal>
            <c:numRef>
              <c:f>'Reference Tables'!$D$250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F49-44AA-98F9-8C9F320D7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146"/>
          <c:min val="12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Longitudinal Station (in.)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2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Gross Weight (lbs)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 val="autoZero"/>
        <c:crossBetween val="midCat"/>
        <c:majorUnit val="500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418158191915599"/>
          <c:y val="0.79010702995005588"/>
          <c:w val="0.81594635149977568"/>
          <c:h val="7.4495085100523634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</a:t>
            </a:r>
            <a:r>
              <a:rPr lang="en-US" baseline="0"/>
              <a:t> and Lateral CG Envelope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67153324584426E-2"/>
          <c:y val="9.3888888888888883E-2"/>
          <c:w val="0.87538631889763785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Tables'!$B$23:$B$29</c:f>
              <c:numCache>
                <c:formatCode>General</c:formatCode>
                <c:ptCount val="7"/>
                <c:pt idx="0">
                  <c:v>2.1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2.1</c:v>
                </c:pt>
              </c:numCache>
            </c:numRef>
          </c:xVal>
          <c:yVal>
            <c:numRef>
              <c:f>'Reference Tables'!$A$23:$A$29</c:f>
              <c:numCache>
                <c:formatCode>General</c:formatCode>
                <c:ptCount val="7"/>
                <c:pt idx="0">
                  <c:v>6283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E9-4C6D-A3D6-FB7738189E87}"/>
            </c:ext>
          </c:extLst>
        </c:ser>
        <c:ser>
          <c:idx val="2"/>
          <c:order val="1"/>
          <c:tx>
            <c:v>Limit (Hoist Ops)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'Reference Tables'!$B$33:$B$39</c:f>
              <c:numCache>
                <c:formatCode>General</c:formatCode>
                <c:ptCount val="7"/>
                <c:pt idx="0">
                  <c:v>7.1</c:v>
                </c:pt>
                <c:pt idx="1">
                  <c:v>7.9</c:v>
                </c:pt>
                <c:pt idx="2">
                  <c:v>7.9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7.1</c:v>
                </c:pt>
              </c:numCache>
            </c:numRef>
          </c:xVal>
          <c:yVal>
            <c:numRef>
              <c:f>'Reference Tables'!$A$33:$A$39</c:f>
              <c:numCache>
                <c:formatCode>General</c:formatCode>
                <c:ptCount val="7"/>
                <c:pt idx="0">
                  <c:v>6283</c:v>
                </c:pt>
                <c:pt idx="1">
                  <c:v>5997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E9-4C6D-A3D6-FB7738189E87}"/>
            </c:ext>
          </c:extLst>
        </c:ser>
        <c:ser>
          <c:idx val="3"/>
          <c:order val="2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Tables'!$B$55:$B$61</c:f>
              <c:numCache>
                <c:formatCode>General</c:formatCode>
                <c:ptCount val="7"/>
                <c:pt idx="0">
                  <c:v>1.9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-1.9</c:v>
                </c:pt>
                <c:pt idx="6">
                  <c:v>1.9</c:v>
                </c:pt>
              </c:numCache>
            </c:numRef>
          </c:xVal>
          <c:yVal>
            <c:numRef>
              <c:f>'Reference Tables'!$A$55:$A$61</c:f>
              <c:numCache>
                <c:formatCode>General</c:formatCode>
                <c:ptCount val="7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6944</c:v>
                </c:pt>
                <c:pt idx="6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E9-4C6D-A3D6-FB7738189E87}"/>
            </c:ext>
          </c:extLst>
        </c:ser>
        <c:ser>
          <c:idx val="1"/>
          <c:order val="3"/>
          <c:tx>
            <c:v>CG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solidFill>
                <a:schemeClr val="lt1"/>
              </a:solidFill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('Reference Tables'!$J$247,'Reference Tables'!$J$248)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('Reference Tables'!$D$247,'Reference Tables'!$D$248)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E9-4C6D-A3D6-FB7738189E87}"/>
            </c:ext>
          </c:extLst>
        </c:ser>
        <c:ser>
          <c:idx val="4"/>
          <c:order val="4"/>
          <c:tx>
            <c:v>CG (Hoist)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'Reference Tables'!$J$249</c:f>
            </c:numRef>
          </c:xVal>
          <c:yVal>
            <c:numRef>
              <c:f>'Reference Tables'!$D$249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6E9-4C6D-A3D6-FB7738189E87}"/>
            </c:ext>
          </c:extLst>
        </c:ser>
        <c:ser>
          <c:idx val="5"/>
          <c:order val="5"/>
          <c:tx>
            <c:v>CG (Hook)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'Reference Tables'!$J$250</c:f>
            </c:numRef>
          </c:xVal>
          <c:yVal>
            <c:numRef>
              <c:f>'Reference Tables'!$D$250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E9-4C6D-A3D6-FB7738189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</c:scatterChart>
      <c:valAx>
        <c:axId val="582312680"/>
        <c:scaling>
          <c:orientation val="minMax"/>
          <c:max val="10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Lateral Station (in.)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1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Gross Weight (lbs)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At val="-100"/>
        <c:crossBetween val="midCat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456597222222225"/>
          <c:y val="0.80398840769903757"/>
          <c:w val="0.84711805555555553"/>
          <c:h val="6.0658792650918635E-2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 and Longitudinal CG Envelope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234918469836939E-2"/>
          <c:y val="9.3888888888888883E-2"/>
          <c:w val="0.86401967470601604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Tables'!$B$11:$B$18</c:f>
              <c:numCache>
                <c:formatCode>General</c:formatCode>
                <c:ptCount val="8"/>
                <c:pt idx="0">
                  <c:v>140.9</c:v>
                </c:pt>
                <c:pt idx="1">
                  <c:v>140.9</c:v>
                </c:pt>
                <c:pt idx="2">
                  <c:v>138.9</c:v>
                </c:pt>
                <c:pt idx="3">
                  <c:v>136.1</c:v>
                </c:pt>
                <c:pt idx="4">
                  <c:v>129.30000000000001</c:v>
                </c:pt>
                <c:pt idx="5">
                  <c:v>129.30000000000001</c:v>
                </c:pt>
                <c:pt idx="6">
                  <c:v>133.5</c:v>
                </c:pt>
                <c:pt idx="7">
                  <c:v>140.9</c:v>
                </c:pt>
              </c:numCache>
            </c:numRef>
          </c:xVal>
          <c:yVal>
            <c:numRef>
              <c:f>'Reference Tables'!$A$11:$A$18</c:f>
              <c:numCache>
                <c:formatCode>General</c:formatCode>
                <c:ptCount val="8"/>
                <c:pt idx="0">
                  <c:v>6283</c:v>
                </c:pt>
                <c:pt idx="1">
                  <c:v>3803</c:v>
                </c:pt>
                <c:pt idx="2">
                  <c:v>3803</c:v>
                </c:pt>
                <c:pt idx="3">
                  <c:v>3995</c:v>
                </c:pt>
                <c:pt idx="4">
                  <c:v>4762</c:v>
                </c:pt>
                <c:pt idx="5">
                  <c:v>5580</c:v>
                </c:pt>
                <c:pt idx="6">
                  <c:v>6283</c:v>
                </c:pt>
                <c:pt idx="7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37-4063-9E7D-C0899706E62C}"/>
            </c:ext>
          </c:extLst>
        </c:ser>
        <c:ser>
          <c:idx val="4"/>
          <c:order val="1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Tables'!$B$43:$B$51</c:f>
              <c:numCache>
                <c:formatCode>General</c:formatCode>
                <c:ptCount val="9"/>
                <c:pt idx="0">
                  <c:v>138.69999999999999</c:v>
                </c:pt>
                <c:pt idx="1">
                  <c:v>140.9</c:v>
                </c:pt>
                <c:pt idx="2">
                  <c:v>140.9</c:v>
                </c:pt>
                <c:pt idx="3">
                  <c:v>138.9</c:v>
                </c:pt>
                <c:pt idx="4">
                  <c:v>136.1</c:v>
                </c:pt>
                <c:pt idx="5">
                  <c:v>131.6</c:v>
                </c:pt>
                <c:pt idx="6">
                  <c:v>131.6</c:v>
                </c:pt>
                <c:pt idx="7">
                  <c:v>134.30000000000001</c:v>
                </c:pt>
                <c:pt idx="8">
                  <c:v>138.69999999999999</c:v>
                </c:pt>
              </c:numCache>
            </c:numRef>
          </c:xVal>
          <c:yVal>
            <c:numRef>
              <c:f>'Reference Tables'!$A$43:$A$51</c:f>
              <c:numCache>
                <c:formatCode>General</c:formatCode>
                <c:ptCount val="9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3995</c:v>
                </c:pt>
                <c:pt idx="5">
                  <c:v>4504</c:v>
                </c:pt>
                <c:pt idx="6">
                  <c:v>6283</c:v>
                </c:pt>
                <c:pt idx="7">
                  <c:v>6944</c:v>
                </c:pt>
                <c:pt idx="8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37-4063-9E7D-C0899706E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CG (Hoist)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10"/>
                  <c:spPr>
                    <a:solidFill>
                      <a:schemeClr val="accent2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'Reference Tables'!$I$249</c15:sqref>
                        </c15:formulaRef>
                      </c:ext>
                    </c:extLst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'Reference Tables'!$D$249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FA37-4063-9E7D-C0899706E62C}"/>
                  </c:ext>
                </c:extLst>
              </c15:ser>
            </c15:filteredScatterSeries>
            <c15:filteredScatterSeries>
              <c15:ser>
                <c:idx val="1"/>
                <c:order val="3"/>
                <c:tx>
                  <c:v>CG</c:v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x"/>
                  <c:size val="10"/>
                  <c:spPr>
                    <a:solidFill>
                      <a:schemeClr val="bg1"/>
                    </a:solidFill>
                    <a:ln w="2540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('Reference Tables'!$I$247,'Reference Tables'!$I$248)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('Reference Tables'!$D$247,'Reference Tables'!$D$248)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A37-4063-9E7D-C0899706E62C}"/>
                  </c:ext>
                </c:extLst>
              </c15:ser>
            </c15:filteredScatterSeries>
            <c15:filteredScatterSeries>
              <c15:ser>
                <c:idx val="3"/>
                <c:order val="4"/>
                <c:tx>
                  <c:v>CG (Hook)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solidFill>
                      <a:schemeClr val="tx2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Tables'!$I$250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Tables'!$D$250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A37-4063-9E7D-C0899706E62C}"/>
                  </c:ext>
                </c:extLst>
              </c15:ser>
            </c15:filteredScatterSeries>
          </c:ext>
        </c:extLst>
      </c:scatterChart>
      <c:valAx>
        <c:axId val="582312680"/>
        <c:scaling>
          <c:orientation val="minMax"/>
          <c:max val="146"/>
          <c:min val="12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Longitudinal Station (in.)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2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Gross Weight (lbs)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 val="autoZero"/>
        <c:crossBetween val="midCat"/>
        <c:majorUnit val="500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31841885905994"/>
          <c:y val="0.76065850504607058"/>
          <c:w val="0.85094205743967044"/>
          <c:h val="0.1039435637771211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Weight and Lateral CG Envelope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016831676201328E-2"/>
          <c:y val="9.3888888888888883E-2"/>
          <c:w val="0.87181158655436153"/>
          <c:h val="0.78384711286089237"/>
        </c:manualLayout>
      </c:layout>
      <c:scatterChart>
        <c:scatterStyle val="lineMarker"/>
        <c:varyColors val="0"/>
        <c:ser>
          <c:idx val="0"/>
          <c:order val="0"/>
          <c:tx>
            <c:v>Limit (Normal)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'Reference Tables'!$B$23:$B$29</c:f>
              <c:numCache>
                <c:formatCode>General</c:formatCode>
                <c:ptCount val="7"/>
                <c:pt idx="0">
                  <c:v>2.1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2.1</c:v>
                </c:pt>
              </c:numCache>
            </c:numRef>
          </c:xVal>
          <c:yVal>
            <c:numRef>
              <c:f>'Reference Tables'!$A$23:$A$29</c:f>
              <c:numCache>
                <c:formatCode>General</c:formatCode>
                <c:ptCount val="7"/>
                <c:pt idx="0">
                  <c:v>6283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75-471C-BF3A-6047EF437DEA}"/>
            </c:ext>
          </c:extLst>
        </c:ser>
        <c:ser>
          <c:idx val="2"/>
          <c:order val="1"/>
          <c:tx>
            <c:v>Limit (Hoist Ops)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'Reference Tables'!$B$33:$B$39</c:f>
              <c:numCache>
                <c:formatCode>General</c:formatCode>
                <c:ptCount val="7"/>
                <c:pt idx="0">
                  <c:v>7.1</c:v>
                </c:pt>
                <c:pt idx="1">
                  <c:v>7.9</c:v>
                </c:pt>
                <c:pt idx="2">
                  <c:v>7.9</c:v>
                </c:pt>
                <c:pt idx="3">
                  <c:v>-2.4</c:v>
                </c:pt>
                <c:pt idx="4">
                  <c:v>-2.4</c:v>
                </c:pt>
                <c:pt idx="5">
                  <c:v>-2.1</c:v>
                </c:pt>
                <c:pt idx="6">
                  <c:v>7.1</c:v>
                </c:pt>
              </c:numCache>
            </c:numRef>
          </c:xVal>
          <c:yVal>
            <c:numRef>
              <c:f>'Reference Tables'!$A$33:$A$39</c:f>
              <c:numCache>
                <c:formatCode>General</c:formatCode>
                <c:ptCount val="7"/>
                <c:pt idx="0">
                  <c:v>6283</c:v>
                </c:pt>
                <c:pt idx="1">
                  <c:v>5997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6283</c:v>
                </c:pt>
                <c:pt idx="6">
                  <c:v>6283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75-471C-BF3A-6047EF437DEA}"/>
            </c:ext>
          </c:extLst>
        </c:ser>
        <c:ser>
          <c:idx val="3"/>
          <c:order val="2"/>
          <c:tx>
            <c:v>Limit (Hook Ops)</c:v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'Reference Tables'!$B$55:$B$61</c:f>
              <c:numCache>
                <c:formatCode>General</c:formatCode>
                <c:ptCount val="7"/>
                <c:pt idx="0">
                  <c:v>1.9</c:v>
                </c:pt>
                <c:pt idx="1">
                  <c:v>2.4</c:v>
                </c:pt>
                <c:pt idx="2">
                  <c:v>2.4</c:v>
                </c:pt>
                <c:pt idx="3">
                  <c:v>-2.4</c:v>
                </c:pt>
                <c:pt idx="4">
                  <c:v>-2.4</c:v>
                </c:pt>
                <c:pt idx="5">
                  <c:v>-1.9</c:v>
                </c:pt>
                <c:pt idx="6">
                  <c:v>1.9</c:v>
                </c:pt>
              </c:numCache>
            </c:numRef>
          </c:xVal>
          <c:yVal>
            <c:numRef>
              <c:f>'Reference Tables'!$A$55:$A$61</c:f>
              <c:numCache>
                <c:formatCode>General</c:formatCode>
                <c:ptCount val="7"/>
                <c:pt idx="0">
                  <c:v>6944</c:v>
                </c:pt>
                <c:pt idx="1">
                  <c:v>5401</c:v>
                </c:pt>
                <c:pt idx="2">
                  <c:v>3803</c:v>
                </c:pt>
                <c:pt idx="3">
                  <c:v>3803</c:v>
                </c:pt>
                <c:pt idx="4">
                  <c:v>5401</c:v>
                </c:pt>
                <c:pt idx="5">
                  <c:v>6944</c:v>
                </c:pt>
                <c:pt idx="6">
                  <c:v>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75-471C-BF3A-6047EF437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12680"/>
        <c:axId val="58231169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3"/>
                <c:tx>
                  <c:v>CG</c:v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x"/>
                  <c:size val="10"/>
                  <c:spPr>
                    <a:solidFill>
                      <a:schemeClr val="lt1"/>
                    </a:solidFill>
                    <a:ln w="2540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('Reference Tables'!$J$247,'Reference Tables'!$J$248)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('Reference Tables'!$D$247,'Reference Tables'!$D$248)</c15:sqref>
                        </c15:formulaRef>
                      </c:ext>
                    </c:extLst>
                    <c:numCache>
                      <c:formatCode>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1A75-471C-BF3A-6047EF437DEA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CG (Hoist)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10"/>
                  <c:spPr>
                    <a:solidFill>
                      <a:schemeClr val="accent2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Tables'!$J$249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Tables'!$D$249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A75-471C-BF3A-6047EF437DEA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CG (Hook)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solidFill>
                      <a:schemeClr val="tx2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Tables'!$J$250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'Reference Tables'!$D$250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A75-471C-BF3A-6047EF437DEA}"/>
                  </c:ext>
                </c:extLst>
              </c15:ser>
            </c15:filteredScatterSeries>
          </c:ext>
        </c:extLst>
      </c:scatterChart>
      <c:valAx>
        <c:axId val="582312680"/>
        <c:scaling>
          <c:orientation val="minMax"/>
          <c:max val="10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Lateral Station (in.)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1696"/>
        <c:crosses val="autoZero"/>
        <c:crossBetween val="midCat"/>
        <c:majorUnit val="1"/>
        <c:minorUnit val="1"/>
      </c:valAx>
      <c:valAx>
        <c:axId val="582311696"/>
        <c:scaling>
          <c:orientation val="minMax"/>
          <c:max val="7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Gross Weight (lbs)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2312680"/>
        <c:crossesAt val="-100"/>
        <c:crossBetween val="midCat"/>
        <c:minorUnit val="2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456597222222225"/>
          <c:y val="0.76472054644263843"/>
          <c:w val="0.84711805555555553"/>
          <c:h val="9.9926836423170712E-2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tiff"/><Relationship Id="rId5" Type="http://schemas.openxmlformats.org/officeDocument/2006/relationships/image" Target="../media/image10.tiff"/><Relationship Id="rId4" Type="http://schemas.openxmlformats.org/officeDocument/2006/relationships/image" Target="../media/image9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5441</xdr:colOff>
      <xdr:row>19</xdr:row>
      <xdr:rowOff>21770</xdr:rowOff>
    </xdr:from>
    <xdr:to>
      <xdr:col>12</xdr:col>
      <xdr:colOff>304800</xdr:colOff>
      <xdr:row>35</xdr:row>
      <xdr:rowOff>97970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35</xdr:row>
      <xdr:rowOff>104775</xdr:rowOff>
    </xdr:from>
    <xdr:to>
      <xdr:col>12</xdr:col>
      <xdr:colOff>304800</xdr:colOff>
      <xdr:row>52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66</xdr:row>
      <xdr:rowOff>63503</xdr:rowOff>
    </xdr:from>
    <xdr:to>
      <xdr:col>13</xdr:col>
      <xdr:colOff>0</xdr:colOff>
      <xdr:row>67</xdr:row>
      <xdr:rowOff>190502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60399F3-272A-8C35-D31F-33E509EB5A45}"/>
            </a:ext>
          </a:extLst>
        </xdr:cNvPr>
        <xdr:cNvSpPr txBox="1"/>
      </xdr:nvSpPr>
      <xdr:spPr>
        <a:xfrm>
          <a:off x="190500" y="11144253"/>
          <a:ext cx="6683375" cy="333374"/>
        </a:xfrm>
        <a:prstGeom prst="rect">
          <a:avLst/>
        </a:prstGeom>
        <a:noFill/>
        <a:ln w="28575">
          <a:solidFill>
            <a:schemeClr val="tx1"/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MISSION SPECIFIC ORM (TH-73A)</a:t>
          </a:r>
        </a:p>
      </xdr:txBody>
    </xdr:sp>
    <xdr:clientData/>
  </xdr:twoCellAnchor>
  <xdr:twoCellAnchor>
    <xdr:from>
      <xdr:col>1</xdr:col>
      <xdr:colOff>0</xdr:colOff>
      <xdr:row>67</xdr:row>
      <xdr:rowOff>190500</xdr:rowOff>
    </xdr:from>
    <xdr:to>
      <xdr:col>12</xdr:col>
      <xdr:colOff>539749</xdr:colOff>
      <xdr:row>126</xdr:row>
      <xdr:rowOff>42333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B4E4CB3-3095-4054-E5C6-6091A4800770}"/>
            </a:ext>
          </a:extLst>
        </xdr:cNvPr>
        <xdr:cNvSpPr/>
      </xdr:nvSpPr>
      <xdr:spPr>
        <a:xfrm>
          <a:off x="190500" y="11477625"/>
          <a:ext cx="6683374" cy="10615083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</xdr:col>
      <xdr:colOff>67709</xdr:colOff>
      <xdr:row>67</xdr:row>
      <xdr:rowOff>204735</xdr:rowOff>
    </xdr:from>
    <xdr:to>
      <xdr:col>6</xdr:col>
      <xdr:colOff>338667</xdr:colOff>
      <xdr:row>81</xdr:row>
      <xdr:rowOff>0</xdr:rowOff>
    </xdr:to>
    <xdr:sp macro="" textlink="">
      <xdr:nvSpPr>
        <xdr:cNvPr id="11" name="TextBox 6">
          <a:extLst>
            <a:ext uri="{FF2B5EF4-FFF2-40B4-BE49-F238E27FC236}">
              <a16:creationId xmlns:a16="http://schemas.microsoft.com/office/drawing/2014/main" id="{8A69E094-95A3-CD6A-D699-DB47A6F24A0D}"/>
            </a:ext>
          </a:extLst>
        </xdr:cNvPr>
        <xdr:cNvSpPr txBox="1"/>
      </xdr:nvSpPr>
      <xdr:spPr>
        <a:xfrm>
          <a:off x="258209" y="11491860"/>
          <a:ext cx="3493583" cy="247814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Day FAM Mission Specific ORM</a:t>
          </a:r>
          <a:endParaRPr lang="en-US" sz="1400"/>
        </a:p>
        <a:p>
          <a:pPr marL="228600" indent="-228600">
            <a:buFont typeface="+mj-lt"/>
            <a:buAutoNum type="arabicPeriod"/>
          </a:pPr>
          <a:r>
            <a:rPr lang="en-US" sz="1400"/>
            <a:t>Defensive Posturing/ Instructor Intervention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Tail Strike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DA and Wind Effect on Aircraft Performance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Autorotations: Entry, Flare, Full/Power recovery, Power off Wave off (IP/IUT Only)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Sim. Eng. Fail</a:t>
          </a:r>
          <a:r>
            <a:rPr lang="en-US" sz="1400" baseline="0"/>
            <a:t> in Hover / Hover Taxi</a:t>
          </a:r>
        </a:p>
        <a:p>
          <a:pPr marL="228600" indent="-228600">
            <a:buFont typeface="+mj-lt"/>
            <a:buAutoNum type="arabicPeriod"/>
          </a:pPr>
          <a:r>
            <a:rPr lang="en-US" sz="1400" baseline="0"/>
            <a:t>Waveoff</a:t>
          </a:r>
          <a:endParaRPr lang="en-US" sz="1400"/>
        </a:p>
        <a:p>
          <a:endParaRPr lang="en-US" sz="900" b="1"/>
        </a:p>
      </xdr:txBody>
    </xdr:sp>
    <xdr:clientData/>
  </xdr:twoCellAnchor>
  <xdr:twoCellAnchor>
    <xdr:from>
      <xdr:col>7</xdr:col>
      <xdr:colOff>5268</xdr:colOff>
      <xdr:row>68</xdr:row>
      <xdr:rowOff>6347</xdr:rowOff>
    </xdr:from>
    <xdr:to>
      <xdr:col>12</xdr:col>
      <xdr:colOff>402168</xdr:colOff>
      <xdr:row>81</xdr:row>
      <xdr:rowOff>41348</xdr:rowOff>
    </xdr:to>
    <xdr:sp macro="" textlink="">
      <xdr:nvSpPr>
        <xdr:cNvPr id="12" name="TextBox 7">
          <a:extLst>
            <a:ext uri="{FF2B5EF4-FFF2-40B4-BE49-F238E27FC236}">
              <a16:creationId xmlns:a16="http://schemas.microsoft.com/office/drawing/2014/main" id="{A4C06922-8D13-C3ED-185A-A3B5337006B1}"/>
            </a:ext>
          </a:extLst>
        </xdr:cNvPr>
        <xdr:cNvSpPr txBox="1"/>
      </xdr:nvSpPr>
      <xdr:spPr>
        <a:xfrm>
          <a:off x="3958143" y="11499847"/>
          <a:ext cx="2778150" cy="251150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Land Logistics Mission Specific ORM</a:t>
          </a:r>
          <a:endParaRPr lang="en-US" sz="1400"/>
        </a:p>
        <a:p>
          <a:pPr marL="228600" indent="-228600">
            <a:buFont typeface="+mj-lt"/>
            <a:buAutoNum type="arabicPeriod"/>
          </a:pPr>
          <a:r>
            <a:rPr lang="en-US" sz="1400"/>
            <a:t>Defensive Posturing/ Instructor Intervention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Tail Strike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DA and Wind Effect on Aircraft Performance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Flight with Cabin Doors Open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Operation in the H-V Avoid Region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Patterns / Operating Areas / LZ</a:t>
          </a:r>
          <a:endParaRPr lang="en-US" sz="1400" b="1"/>
        </a:p>
      </xdr:txBody>
    </xdr:sp>
    <xdr:clientData/>
  </xdr:twoCellAnchor>
  <xdr:twoCellAnchor>
    <xdr:from>
      <xdr:col>1</xdr:col>
      <xdr:colOff>67709</xdr:colOff>
      <xdr:row>80</xdr:row>
      <xdr:rowOff>178517</xdr:rowOff>
    </xdr:from>
    <xdr:to>
      <xdr:col>11</xdr:col>
      <xdr:colOff>472329</xdr:colOff>
      <xdr:row>89</xdr:row>
      <xdr:rowOff>76881</xdr:rowOff>
    </xdr:to>
    <xdr:sp macro="" textlink="">
      <xdr:nvSpPr>
        <xdr:cNvPr id="13" name="TextBox 8">
          <a:extLst>
            <a:ext uri="{FF2B5EF4-FFF2-40B4-BE49-F238E27FC236}">
              <a16:creationId xmlns:a16="http://schemas.microsoft.com/office/drawing/2014/main" id="{DE1334EC-50BA-D0C4-7031-A39D5D7165C0}"/>
            </a:ext>
          </a:extLst>
        </xdr:cNvPr>
        <xdr:cNvSpPr txBox="1"/>
      </xdr:nvSpPr>
      <xdr:spPr>
        <a:xfrm>
          <a:off x="258209" y="14561267"/>
          <a:ext cx="6051584" cy="162647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TERF/Nav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Traffic Calls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RadAlt Settings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Low-Level Lookout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Bird/Obstacle Avoidance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Low-Level Engine Failure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 (DLAs)</a:t>
          </a:r>
        </a:p>
      </xdr:txBody>
    </xdr:sp>
    <xdr:clientData/>
  </xdr:twoCellAnchor>
  <xdr:twoCellAnchor>
    <xdr:from>
      <xdr:col>1</xdr:col>
      <xdr:colOff>62419</xdr:colOff>
      <xdr:row>89</xdr:row>
      <xdr:rowOff>42082</xdr:rowOff>
    </xdr:from>
    <xdr:to>
      <xdr:col>6</xdr:col>
      <xdr:colOff>37042</xdr:colOff>
      <xdr:row>97</xdr:row>
      <xdr:rowOff>115827</xdr:rowOff>
    </xdr:to>
    <xdr:sp macro="" textlink="">
      <xdr:nvSpPr>
        <xdr:cNvPr id="14" name="TextBox 9">
          <a:extLst>
            <a:ext uri="{FF2B5EF4-FFF2-40B4-BE49-F238E27FC236}">
              <a16:creationId xmlns:a16="http://schemas.microsoft.com/office/drawing/2014/main" id="{04DC178D-E7CE-3D66-A3FA-410BE75DE9BD}"/>
            </a:ext>
          </a:extLst>
        </xdr:cNvPr>
        <xdr:cNvSpPr txBox="1"/>
      </xdr:nvSpPr>
      <xdr:spPr>
        <a:xfrm>
          <a:off x="252919" y="15520207"/>
          <a:ext cx="3197248" cy="15342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Formation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Closure Rates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Landing Pattern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 (Avoid Rapid Reduction of Collective)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Working Area Traffic</a:t>
          </a:r>
        </a:p>
      </xdr:txBody>
    </xdr:sp>
    <xdr:clientData/>
  </xdr:twoCellAnchor>
  <xdr:twoCellAnchor>
    <xdr:from>
      <xdr:col>1</xdr:col>
      <xdr:colOff>73002</xdr:colOff>
      <xdr:row>96</xdr:row>
      <xdr:rowOff>90691</xdr:rowOff>
    </xdr:from>
    <xdr:to>
      <xdr:col>12</xdr:col>
      <xdr:colOff>14072</xdr:colOff>
      <xdr:row>106</xdr:row>
      <xdr:rowOff>92556</xdr:rowOff>
    </xdr:to>
    <xdr:sp macro="" textlink="">
      <xdr:nvSpPr>
        <xdr:cNvPr id="15" name="TextBox 10">
          <a:extLst>
            <a:ext uri="{FF2B5EF4-FFF2-40B4-BE49-F238E27FC236}">
              <a16:creationId xmlns:a16="http://schemas.microsoft.com/office/drawing/2014/main" id="{B6D89A8D-FDAA-D148-34C3-C4F79CFF30DC}"/>
            </a:ext>
          </a:extLst>
        </xdr:cNvPr>
        <xdr:cNvSpPr txBox="1"/>
      </xdr:nvSpPr>
      <xdr:spPr>
        <a:xfrm>
          <a:off x="263502" y="17494227"/>
          <a:ext cx="6064284" cy="185243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Basic / Radio Instrument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Unusual Attitudes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Working Area Traffic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Missed Approach/Climb Out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Comm Discipline 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Use of Flight Director 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Use of EKB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Fuel Packet / GPU / Contract Fuel</a:t>
          </a:r>
        </a:p>
      </xdr:txBody>
    </xdr:sp>
    <xdr:clientData/>
  </xdr:twoCellAnchor>
  <xdr:twoCellAnchor>
    <xdr:from>
      <xdr:col>1</xdr:col>
      <xdr:colOff>60149</xdr:colOff>
      <xdr:row>106</xdr:row>
      <xdr:rowOff>49137</xdr:rowOff>
    </xdr:from>
    <xdr:to>
      <xdr:col>12</xdr:col>
      <xdr:colOff>17094</xdr:colOff>
      <xdr:row>115</xdr:row>
      <xdr:rowOff>1929</xdr:rowOff>
    </xdr:to>
    <xdr:sp macro="" textlink="">
      <xdr:nvSpPr>
        <xdr:cNvPr id="16" name="TextBox 11">
          <a:extLst>
            <a:ext uri="{FF2B5EF4-FFF2-40B4-BE49-F238E27FC236}">
              <a16:creationId xmlns:a16="http://schemas.microsoft.com/office/drawing/2014/main" id="{6C0A83A8-0A15-D099-FEFD-57CBF820EF19}"/>
            </a:ext>
          </a:extLst>
        </xdr:cNvPr>
        <xdr:cNvSpPr txBox="1"/>
      </xdr:nvSpPr>
      <xdr:spPr>
        <a:xfrm>
          <a:off x="250649" y="19303244"/>
          <a:ext cx="6080159" cy="162647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SAR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Defensive Posturing / Instructor Intervention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DA and Wind Effect on Aircraft Performance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Sea Surface Temperature and Wind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SAR Pattern Setup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CRM while conducting SAR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 Level BI Scan Overwater</a:t>
          </a:r>
        </a:p>
      </xdr:txBody>
    </xdr:sp>
    <xdr:clientData/>
  </xdr:twoCellAnchor>
  <xdr:twoCellAnchor>
    <xdr:from>
      <xdr:col>7</xdr:col>
      <xdr:colOff>5269</xdr:colOff>
      <xdr:row>81</xdr:row>
      <xdr:rowOff>155723</xdr:rowOff>
    </xdr:from>
    <xdr:to>
      <xdr:col>13</xdr:col>
      <xdr:colOff>2268</xdr:colOff>
      <xdr:row>93</xdr:row>
      <xdr:rowOff>188455</xdr:rowOff>
    </xdr:to>
    <xdr:sp macro="" textlink="">
      <xdr:nvSpPr>
        <xdr:cNvPr id="18" name="TextBox 12">
          <a:extLst>
            <a:ext uri="{FF2B5EF4-FFF2-40B4-BE49-F238E27FC236}">
              <a16:creationId xmlns:a16="http://schemas.microsoft.com/office/drawing/2014/main" id="{9FFBDFF3-A170-A5BD-7A61-A3D7E23E4E92}"/>
            </a:ext>
          </a:extLst>
        </xdr:cNvPr>
        <xdr:cNvSpPr txBox="1"/>
      </xdr:nvSpPr>
      <xdr:spPr>
        <a:xfrm>
          <a:off x="3978555" y="14728973"/>
          <a:ext cx="2732034" cy="23051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Night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 Work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Closure Rates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Scan Pattern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Use of Lights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Visual Illusions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Temp/ Dew point Spread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RadAlt Settings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Working Area Traffic</a:t>
          </a:r>
        </a:p>
      </xdr:txBody>
    </xdr:sp>
    <xdr:clientData/>
  </xdr:twoCellAnchor>
  <xdr:twoCellAnchor editAs="oneCell">
    <xdr:from>
      <xdr:col>46</xdr:col>
      <xdr:colOff>88979</xdr:colOff>
      <xdr:row>0</xdr:row>
      <xdr:rowOff>124883</xdr:rowOff>
    </xdr:from>
    <xdr:to>
      <xdr:col>51</xdr:col>
      <xdr:colOff>31963</xdr:colOff>
      <xdr:row>3</xdr:row>
      <xdr:rowOff>178649</xdr:rowOff>
    </xdr:to>
    <xdr:pic>
      <xdr:nvPicPr>
        <xdr:cNvPr id="19" name="Picture 18" descr="HT28 patch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27129" y="124883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69851</xdr:colOff>
      <xdr:row>65</xdr:row>
      <xdr:rowOff>127006</xdr:rowOff>
    </xdr:from>
    <xdr:to>
      <xdr:col>19</xdr:col>
      <xdr:colOff>44585</xdr:colOff>
      <xdr:row>69</xdr:row>
      <xdr:rowOff>174422</xdr:rowOff>
    </xdr:to>
    <xdr:pic>
      <xdr:nvPicPr>
        <xdr:cNvPr id="20" name="Picture 19" descr="HT28 patch.pn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93101" y="11512556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522038</xdr:colOff>
      <xdr:row>92</xdr:row>
      <xdr:rowOff>61207</xdr:rowOff>
    </xdr:from>
    <xdr:to>
      <xdr:col>12</xdr:col>
      <xdr:colOff>204107</xdr:colOff>
      <xdr:row>106</xdr:row>
      <xdr:rowOff>170920</xdr:rowOff>
    </xdr:to>
    <xdr:sp macro="" textlink="">
      <xdr:nvSpPr>
        <xdr:cNvPr id="21" name="TextBox 11">
          <a:extLst>
            <a:ext uri="{FF2B5EF4-FFF2-40B4-BE49-F238E27FC236}">
              <a16:creationId xmlns:a16="http://schemas.microsoft.com/office/drawing/2014/main" id="{6C0A83A8-0A15-D099-FEFD-57CBF820EF19}"/>
            </a:ext>
          </a:extLst>
        </xdr:cNvPr>
        <xdr:cNvSpPr txBox="1"/>
      </xdr:nvSpPr>
      <xdr:spPr>
        <a:xfrm>
          <a:off x="3951038" y="16702743"/>
          <a:ext cx="2566783" cy="27222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Solo Mission Specific ORM</a:t>
          </a:r>
        </a:p>
        <a:p>
          <a:r>
            <a:rPr lang="en-US" sz="1400" b="0" u="none"/>
            <a:t>1.</a:t>
          </a:r>
          <a:r>
            <a:rPr lang="en-US" sz="1400" b="0" u="none" baseline="0"/>
            <a:t> Currency</a:t>
          </a:r>
        </a:p>
        <a:p>
          <a:r>
            <a:rPr lang="en-US" sz="1400" b="0" u="none" baseline="0"/>
            <a:t>          3 Day (Day4401)</a:t>
          </a:r>
        </a:p>
        <a:p>
          <a:r>
            <a:rPr lang="en-US" sz="1400" b="0" u="none" baseline="0"/>
            <a:t>          5 Day (Nav4201/RI4401)</a:t>
          </a:r>
        </a:p>
        <a:p>
          <a:r>
            <a:rPr lang="en-US" sz="1400" b="0" u="none" baseline="0"/>
            <a:t>2. N2/NR Overspeed</a:t>
          </a:r>
        </a:p>
        <a:p>
          <a:r>
            <a:rPr lang="en-US" sz="1400" b="0" u="none" baseline="0"/>
            <a:t>3. Tail Strike</a:t>
          </a:r>
        </a:p>
        <a:p>
          <a:r>
            <a:rPr lang="en-US" sz="1400" b="0" u="none" baseline="0"/>
            <a:t>4. DA and Wind Effect on Aircraft    Performance</a:t>
          </a:r>
        </a:p>
        <a:p>
          <a:r>
            <a:rPr lang="en-US" sz="1400" b="0" u="none" baseline="0"/>
            <a:t>5. 10 Hours Crew Day</a:t>
          </a:r>
        </a:p>
        <a:p>
          <a:r>
            <a:rPr lang="en-US" sz="1400" b="0" u="none" baseline="0"/>
            <a:t>6. Hot Seat Procedures</a:t>
          </a:r>
        </a:p>
        <a:p>
          <a:r>
            <a:rPr lang="en-US" sz="1400" b="0" u="none" baseline="0"/>
            <a:t>7. Left Seat Specific CRM/ORM</a:t>
          </a:r>
        </a:p>
        <a:p>
          <a:r>
            <a:rPr lang="en-US" sz="1400" b="0" u="none" baseline="0"/>
            <a:t>8. EKB Usage</a:t>
          </a:r>
        </a:p>
      </xdr:txBody>
    </xdr:sp>
    <xdr:clientData/>
  </xdr:twoCellAnchor>
  <xdr:twoCellAnchor>
    <xdr:from>
      <xdr:col>6</xdr:col>
      <xdr:colOff>495577</xdr:colOff>
      <xdr:row>106</xdr:row>
      <xdr:rowOff>130781</xdr:rowOff>
    </xdr:from>
    <xdr:to>
      <xdr:col>12</xdr:col>
      <xdr:colOff>177646</xdr:colOff>
      <xdr:row>119</xdr:row>
      <xdr:rowOff>19883</xdr:rowOff>
    </xdr:to>
    <xdr:sp macro="" textlink="">
      <xdr:nvSpPr>
        <xdr:cNvPr id="22" name="TextBox 11">
          <a:extLst>
            <a:ext uri="{FF2B5EF4-FFF2-40B4-BE49-F238E27FC236}">
              <a16:creationId xmlns:a16="http://schemas.microsoft.com/office/drawing/2014/main" id="{6C0A83A8-0A15-D099-FEFD-57CBF820EF19}"/>
            </a:ext>
          </a:extLst>
        </xdr:cNvPr>
        <xdr:cNvSpPr txBox="1"/>
      </xdr:nvSpPr>
      <xdr:spPr>
        <a:xfrm>
          <a:off x="3924577" y="19384888"/>
          <a:ext cx="2566783" cy="228395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IP/IP Mission Specific ORM</a:t>
          </a:r>
        </a:p>
        <a:p>
          <a:r>
            <a:rPr lang="en-US" sz="1400" b="0" u="none"/>
            <a:t>1.</a:t>
          </a:r>
          <a:r>
            <a:rPr lang="en-US" sz="1400" b="0" u="none" baseline="0"/>
            <a:t> Complacency</a:t>
          </a:r>
        </a:p>
        <a:p>
          <a:r>
            <a:rPr lang="en-US" sz="1400" b="0" u="none" baseline="0"/>
            <a:t>2. Fights on/ Fights Off</a:t>
          </a:r>
        </a:p>
        <a:p>
          <a:r>
            <a:rPr lang="en-US" sz="1400" b="0" u="none" baseline="0"/>
            <a:t>3. Warm-up Maneuvers </a:t>
          </a:r>
        </a:p>
        <a:p>
          <a:r>
            <a:rPr lang="en-US" sz="1400" b="0" u="none" baseline="0"/>
            <a:t>4. Sim Fixed Pitch in Flight</a:t>
          </a:r>
        </a:p>
        <a:p>
          <a:r>
            <a:rPr lang="en-US" sz="1400" b="0" u="none" baseline="0"/>
            <a:t>5. Autorotations / Twist Grip Manipulation</a:t>
          </a:r>
        </a:p>
        <a:p>
          <a:r>
            <a:rPr lang="en-US" sz="1400" b="0" u="none" baseline="0"/>
            <a:t>6. Defensive Posturing</a:t>
          </a:r>
        </a:p>
        <a:p>
          <a:endParaRPr lang="en-US" sz="1400" b="0" u="none" baseline="0"/>
        </a:p>
        <a:p>
          <a:endParaRPr lang="en-US" sz="1400" b="0" u="none" baseline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28575</xdr:rowOff>
    </xdr:from>
    <xdr:to>
      <xdr:col>18</xdr:col>
      <xdr:colOff>19050</xdr:colOff>
      <xdr:row>22</xdr:row>
      <xdr:rowOff>174962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0" y="219075"/>
          <a:ext cx="4152900" cy="5204162"/>
        </a:xfrm>
        <a:prstGeom prst="rect">
          <a:avLst/>
        </a:prstGeom>
      </xdr:spPr>
    </xdr:pic>
    <xdr:clientData/>
  </xdr:twoCellAnchor>
  <xdr:twoCellAnchor editAs="oneCell">
    <xdr:from>
      <xdr:col>18</xdr:col>
      <xdr:colOff>68075</xdr:colOff>
      <xdr:row>1</xdr:row>
      <xdr:rowOff>28575</xdr:rowOff>
    </xdr:from>
    <xdr:to>
      <xdr:col>24</xdr:col>
      <xdr:colOff>170810</xdr:colOff>
      <xdr:row>6</xdr:row>
      <xdr:rowOff>136282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74725" y="219075"/>
          <a:ext cx="3646035" cy="1441207"/>
        </a:xfrm>
        <a:prstGeom prst="rect">
          <a:avLst/>
        </a:prstGeom>
      </xdr:spPr>
    </xdr:pic>
    <xdr:clientData/>
  </xdr:twoCellAnchor>
  <xdr:twoCellAnchor editAs="oneCell">
    <xdr:from>
      <xdr:col>18</xdr:col>
      <xdr:colOff>71726</xdr:colOff>
      <xdr:row>10</xdr:row>
      <xdr:rowOff>90204</xdr:rowOff>
    </xdr:from>
    <xdr:to>
      <xdr:col>24</xdr:col>
      <xdr:colOff>163961</xdr:colOff>
      <xdr:row>26</xdr:row>
      <xdr:rowOff>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406" r="26886"/>
        <a:stretch/>
      </xdr:blipFill>
      <xdr:spPr>
        <a:xfrm rot="5400000">
          <a:off x="11102406" y="1937324"/>
          <a:ext cx="3634076" cy="3749835"/>
        </a:xfrm>
        <a:prstGeom prst="rect">
          <a:avLst/>
        </a:prstGeom>
      </xdr:spPr>
    </xdr:pic>
    <xdr:clientData/>
  </xdr:twoCellAnchor>
  <xdr:twoCellAnchor editAs="oneCell">
    <xdr:from>
      <xdr:col>11</xdr:col>
      <xdr:colOff>170402</xdr:colOff>
      <xdr:row>23</xdr:row>
      <xdr:rowOff>88900</xdr:rowOff>
    </xdr:from>
    <xdr:to>
      <xdr:col>18</xdr:col>
      <xdr:colOff>12700</xdr:colOff>
      <xdr:row>56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18002" y="5257800"/>
          <a:ext cx="4553998" cy="5994400"/>
        </a:xfrm>
        <a:prstGeom prst="rect">
          <a:avLst/>
        </a:prstGeom>
      </xdr:spPr>
    </xdr:pic>
    <xdr:clientData/>
  </xdr:twoCellAnchor>
  <xdr:twoCellAnchor editAs="oneCell">
    <xdr:from>
      <xdr:col>18</xdr:col>
      <xdr:colOff>86318</xdr:colOff>
      <xdr:row>26</xdr:row>
      <xdr:rowOff>25400</xdr:rowOff>
    </xdr:from>
    <xdr:to>
      <xdr:col>24</xdr:col>
      <xdr:colOff>266700</xdr:colOff>
      <xdr:row>66</xdr:row>
      <xdr:rowOff>139700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45618" y="5727700"/>
          <a:ext cx="4218982" cy="7454900"/>
        </a:xfrm>
        <a:prstGeom prst="rect">
          <a:avLst/>
        </a:prstGeom>
      </xdr:spPr>
    </xdr:pic>
    <xdr:clientData/>
  </xdr:twoCellAnchor>
  <xdr:twoCellAnchor editAs="oneCell">
    <xdr:from>
      <xdr:col>18</xdr:col>
      <xdr:colOff>66052</xdr:colOff>
      <xdr:row>67</xdr:row>
      <xdr:rowOff>12700</xdr:rowOff>
    </xdr:from>
    <xdr:to>
      <xdr:col>24</xdr:col>
      <xdr:colOff>215900</xdr:colOff>
      <xdr:row>102</xdr:row>
      <xdr:rowOff>164628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25352" y="13233400"/>
          <a:ext cx="4188448" cy="674322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0.65704</cdr:x>
      <cdr:y>0.1043</cdr:y>
    </cdr:from>
    <cdr:to>
      <cdr:x>0.95538</cdr:x>
      <cdr:y>0.19878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67731529-020C-5A4C-BFD0-F170B3DBAE4E}"/>
            </a:ext>
          </a:extLst>
        </cdr:cNvPr>
        <cdr:cNvSpPr txBox="1"/>
      </cdr:nvSpPr>
      <cdr:spPr>
        <a:xfrm xmlns:a="http://schemas.openxmlformats.org/drawingml/2006/main">
          <a:off x="2384425" y="269875"/>
          <a:ext cx="1082675" cy="2444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600" u="sng">
              <a:latin typeface="Times New Roman" panose="02020603050405020304" pitchFamily="18" charset="0"/>
              <a:cs typeface="Times New Roman" panose="02020603050405020304" pitchFamily="18" charset="0"/>
            </a:rPr>
            <a:t>Note</a:t>
          </a:r>
          <a:r>
            <a:rPr lang="en-US" sz="600">
              <a:latin typeface="Times New Roman" panose="02020603050405020304" pitchFamily="18" charset="0"/>
              <a:cs typeface="Times New Roman" panose="02020603050405020304" pitchFamily="18" charset="0"/>
            </a:rPr>
            <a:t>: Hoist</a:t>
          </a:r>
          <a:r>
            <a:rPr lang="en-US" sz="600" baseline="0">
              <a:latin typeface="Times New Roman" panose="02020603050405020304" pitchFamily="18" charset="0"/>
              <a:cs typeface="Times New Roman" panose="02020603050405020304" pitchFamily="18" charset="0"/>
            </a:rPr>
            <a:t> CG limits are identical to normal limits.</a:t>
          </a:r>
          <a:endParaRPr 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609598</xdr:colOff>
      <xdr:row>6</xdr:row>
      <xdr:rowOff>0</xdr:rowOff>
    </xdr:from>
    <xdr:to>
      <xdr:col>21</xdr:col>
      <xdr:colOff>558798</xdr:colOff>
      <xdr:row>17</xdr:row>
      <xdr:rowOff>161636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600363</xdr:colOff>
      <xdr:row>18</xdr:row>
      <xdr:rowOff>92363</xdr:rowOff>
    </xdr:from>
    <xdr:to>
      <xdr:col>21</xdr:col>
      <xdr:colOff>549563</xdr:colOff>
      <xdr:row>33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669636</xdr:colOff>
      <xdr:row>7</xdr:row>
      <xdr:rowOff>80819</xdr:rowOff>
    </xdr:from>
    <xdr:to>
      <xdr:col>13</xdr:col>
      <xdr:colOff>542636</xdr:colOff>
      <xdr:row>8</xdr:row>
      <xdr:rowOff>242455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855363" y="2043546"/>
          <a:ext cx="1212273" cy="5426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imes New Roman" panose="02020603050405020304" pitchFamily="18" charset="0"/>
              <a:cs typeface="Times New Roman" panose="02020603050405020304" pitchFamily="18" charset="0"/>
            </a:rPr>
            <a:t>Note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: Hoist</a:t>
          </a:r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CG limits are identical to normal limits.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6</xdr:row>
      <xdr:rowOff>0</xdr:rowOff>
    </xdr:from>
    <xdr:to>
      <xdr:col>33</xdr:col>
      <xdr:colOff>558800</xdr:colOff>
      <xdr:row>17</xdr:row>
      <xdr:rowOff>161636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290</xdr:colOff>
      <xdr:row>18</xdr:row>
      <xdr:rowOff>92363</xdr:rowOff>
    </xdr:from>
    <xdr:to>
      <xdr:col>33</xdr:col>
      <xdr:colOff>549565</xdr:colOff>
      <xdr:row>33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54263</xdr:colOff>
      <xdr:row>7</xdr:row>
      <xdr:rowOff>81396</xdr:rowOff>
    </xdr:from>
    <xdr:to>
      <xdr:col>26</xdr:col>
      <xdr:colOff>3463</xdr:colOff>
      <xdr:row>8</xdr:row>
      <xdr:rowOff>243032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903738" y="2091171"/>
          <a:ext cx="1130300" cy="5426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latin typeface="Times New Roman" panose="02020603050405020304" pitchFamily="18" charset="0"/>
              <a:cs typeface="Times New Roman" panose="02020603050405020304" pitchFamily="18" charset="0"/>
            </a:rPr>
            <a:t>Note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: Hoist</a:t>
          </a:r>
          <a:r>
            <a:rPr lang="en-U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CG limits are identical to normal limits.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1</xdr:rowOff>
    </xdr:from>
    <xdr:to>
      <xdr:col>6</xdr:col>
      <xdr:colOff>380830</xdr:colOff>
      <xdr:row>42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001"/>
          <a:ext cx="4162254" cy="62293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409574</xdr:colOff>
      <xdr:row>10</xdr:row>
      <xdr:rowOff>0</xdr:rowOff>
    </xdr:from>
    <xdr:to>
      <xdr:col>13</xdr:col>
      <xdr:colOff>485775</xdr:colOff>
      <xdr:row>42</xdr:row>
      <xdr:rowOff>130000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0999" y="1905000"/>
          <a:ext cx="4210051" cy="622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523875</xdr:colOff>
      <xdr:row>9</xdr:row>
      <xdr:rowOff>190499</xdr:rowOff>
    </xdr:from>
    <xdr:to>
      <xdr:col>21</xdr:col>
      <xdr:colOff>285751</xdr:colOff>
      <xdr:row>42</xdr:row>
      <xdr:rowOff>74956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9150" y="1904999"/>
          <a:ext cx="4486276" cy="61709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40298</xdr:colOff>
      <xdr:row>1</xdr:row>
      <xdr:rowOff>31262</xdr:rowOff>
    </xdr:from>
    <xdr:to>
      <xdr:col>1</xdr:col>
      <xdr:colOff>738932</xdr:colOff>
      <xdr:row>1</xdr:row>
      <xdr:rowOff>840678</xdr:rowOff>
    </xdr:to>
    <xdr:pic>
      <xdr:nvPicPr>
        <xdr:cNvPr id="4" name="Picture 3" descr="HT28 patch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14300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98425</xdr:colOff>
      <xdr:row>1</xdr:row>
      <xdr:rowOff>36390</xdr:rowOff>
    </xdr:from>
    <xdr:to>
      <xdr:col>12</xdr:col>
      <xdr:colOff>797059</xdr:colOff>
      <xdr:row>1</xdr:row>
      <xdr:rowOff>845806</xdr:rowOff>
    </xdr:to>
    <xdr:pic>
      <xdr:nvPicPr>
        <xdr:cNvPr id="5" name="Picture 4" descr="HT28 patch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39194" y="119428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698634</xdr:colOff>
      <xdr:row>1</xdr:row>
      <xdr:rowOff>809416</xdr:rowOff>
    </xdr:to>
    <xdr:pic>
      <xdr:nvPicPr>
        <xdr:cNvPr id="4" name="Picture 3" descr="HT28 patch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600" y="82550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698634</xdr:colOff>
      <xdr:row>1</xdr:row>
      <xdr:rowOff>809416</xdr:rowOff>
    </xdr:to>
    <xdr:pic>
      <xdr:nvPicPr>
        <xdr:cNvPr id="5" name="Picture 4" descr="HT28 patch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82300" y="82550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723900</xdr:colOff>
      <xdr:row>1</xdr:row>
      <xdr:rowOff>842892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8C09D2F-8C20-4AC6-BEEB-0B077F5AC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704850" cy="814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12700</xdr:colOff>
      <xdr:row>1</xdr:row>
      <xdr:rowOff>31750</xdr:rowOff>
    </xdr:from>
    <xdr:to>
      <xdr:col>1</xdr:col>
      <xdr:colOff>711334</xdr:colOff>
      <xdr:row>1</xdr:row>
      <xdr:rowOff>841166</xdr:rowOff>
    </xdr:to>
    <xdr:pic>
      <xdr:nvPicPr>
        <xdr:cNvPr id="5" name="Picture 4" descr="HT28 patch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114300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698634</xdr:colOff>
      <xdr:row>1</xdr:row>
      <xdr:rowOff>809416</xdr:rowOff>
    </xdr:to>
    <xdr:pic>
      <xdr:nvPicPr>
        <xdr:cNvPr id="6" name="Picture 5" descr="HT28 patch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82300" y="82550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63503</xdr:rowOff>
    </xdr:from>
    <xdr:to>
      <xdr:col>13</xdr:col>
      <xdr:colOff>0</xdr:colOff>
      <xdr:row>65</xdr:row>
      <xdr:rowOff>190502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C60399F3-272A-8C35-D31F-33E509EB5A45}"/>
            </a:ext>
          </a:extLst>
        </xdr:cNvPr>
        <xdr:cNvSpPr txBox="1"/>
      </xdr:nvSpPr>
      <xdr:spPr>
        <a:xfrm>
          <a:off x="190500" y="11226803"/>
          <a:ext cx="6715125" cy="327024"/>
        </a:xfrm>
        <a:prstGeom prst="rect">
          <a:avLst/>
        </a:prstGeom>
        <a:noFill/>
        <a:ln w="28575">
          <a:solidFill>
            <a:schemeClr val="tx1"/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MISSION SPECIFIC ORM (TH-73A)</a:t>
          </a:r>
        </a:p>
      </xdr:txBody>
    </xdr:sp>
    <xdr:clientData/>
  </xdr:twoCellAnchor>
  <xdr:twoCellAnchor>
    <xdr:from>
      <xdr:col>1</xdr:col>
      <xdr:colOff>0</xdr:colOff>
      <xdr:row>65</xdr:row>
      <xdr:rowOff>190500</xdr:rowOff>
    </xdr:from>
    <xdr:to>
      <xdr:col>12</xdr:col>
      <xdr:colOff>539749</xdr:colOff>
      <xdr:row>124</xdr:row>
      <xdr:rowOff>42333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B4E4CB3-3095-4054-E5C6-6091A4800770}"/>
            </a:ext>
          </a:extLst>
        </xdr:cNvPr>
        <xdr:cNvSpPr/>
      </xdr:nvSpPr>
      <xdr:spPr>
        <a:xfrm>
          <a:off x="190500" y="11553825"/>
          <a:ext cx="6711949" cy="10615083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</xdr:col>
      <xdr:colOff>67709</xdr:colOff>
      <xdr:row>65</xdr:row>
      <xdr:rowOff>204735</xdr:rowOff>
    </xdr:from>
    <xdr:to>
      <xdr:col>6</xdr:col>
      <xdr:colOff>338667</xdr:colOff>
      <xdr:row>79</xdr:row>
      <xdr:rowOff>0</xdr:rowOff>
    </xdr:to>
    <xdr:sp macro="" textlink="">
      <xdr:nvSpPr>
        <xdr:cNvPr id="9" name="TextBox 6">
          <a:extLst>
            <a:ext uri="{FF2B5EF4-FFF2-40B4-BE49-F238E27FC236}">
              <a16:creationId xmlns:a16="http://schemas.microsoft.com/office/drawing/2014/main" id="{8A69E094-95A3-CD6A-D699-DB47A6F24A0D}"/>
            </a:ext>
          </a:extLst>
        </xdr:cNvPr>
        <xdr:cNvSpPr txBox="1"/>
      </xdr:nvSpPr>
      <xdr:spPr>
        <a:xfrm>
          <a:off x="258209" y="11568060"/>
          <a:ext cx="3499933" cy="244321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Day FAM Mission Specific ORM</a:t>
          </a:r>
          <a:endParaRPr lang="en-US" sz="1400"/>
        </a:p>
        <a:p>
          <a:pPr marL="228600" indent="-228600">
            <a:buFont typeface="+mj-lt"/>
            <a:buAutoNum type="arabicPeriod"/>
          </a:pPr>
          <a:r>
            <a:rPr lang="en-US" sz="1400"/>
            <a:t>Defensive Posturing/ Instructor Intervention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Tail Strike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DA and Wind Effect on Aircraft Performance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Autorotations: Entry, Flare, Full/Power recovery, Power off Wave off (IP/IUT Only)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Sim. Eng. Fail</a:t>
          </a:r>
          <a:r>
            <a:rPr lang="en-US" sz="1400" baseline="0"/>
            <a:t> in Hover / Hover Taxi</a:t>
          </a:r>
        </a:p>
        <a:p>
          <a:pPr marL="228600" indent="-228600">
            <a:buFont typeface="+mj-lt"/>
            <a:buAutoNum type="arabicPeriod"/>
          </a:pPr>
          <a:r>
            <a:rPr lang="en-US" sz="1400" baseline="0"/>
            <a:t>Waveoff</a:t>
          </a:r>
          <a:endParaRPr lang="en-US" sz="1400"/>
        </a:p>
        <a:p>
          <a:endParaRPr lang="en-US" sz="900" b="1"/>
        </a:p>
      </xdr:txBody>
    </xdr:sp>
    <xdr:clientData/>
  </xdr:twoCellAnchor>
  <xdr:twoCellAnchor>
    <xdr:from>
      <xdr:col>7</xdr:col>
      <xdr:colOff>5268</xdr:colOff>
      <xdr:row>66</xdr:row>
      <xdr:rowOff>6347</xdr:rowOff>
    </xdr:from>
    <xdr:to>
      <xdr:col>12</xdr:col>
      <xdr:colOff>402168</xdr:colOff>
      <xdr:row>79</xdr:row>
      <xdr:rowOff>41348</xdr:rowOff>
    </xdr:to>
    <xdr:sp macro="" textlink="">
      <xdr:nvSpPr>
        <xdr:cNvPr id="10" name="TextBox 7">
          <a:extLst>
            <a:ext uri="{FF2B5EF4-FFF2-40B4-BE49-F238E27FC236}">
              <a16:creationId xmlns:a16="http://schemas.microsoft.com/office/drawing/2014/main" id="{A4C06922-8D13-C3ED-185A-A3B5337006B1}"/>
            </a:ext>
          </a:extLst>
        </xdr:cNvPr>
        <xdr:cNvSpPr txBox="1"/>
      </xdr:nvSpPr>
      <xdr:spPr>
        <a:xfrm>
          <a:off x="3967668" y="11569697"/>
          <a:ext cx="2797200" cy="248292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Land Logistics Mission Specific ORM</a:t>
          </a:r>
          <a:endParaRPr lang="en-US" sz="1400"/>
        </a:p>
        <a:p>
          <a:pPr marL="228600" indent="-228600">
            <a:buFont typeface="+mj-lt"/>
            <a:buAutoNum type="arabicPeriod"/>
          </a:pPr>
          <a:r>
            <a:rPr lang="en-US" sz="1400"/>
            <a:t>Defensive Posturing/ Instructor Intervention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Tail Strike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DA and Wind Effect on Aircraft Performance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Flight with Cabin Doors Open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Operation in the H-V Avoid Region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Patterns / Operating Areas / LZ</a:t>
          </a:r>
          <a:endParaRPr lang="en-US" sz="1400" b="1"/>
        </a:p>
      </xdr:txBody>
    </xdr:sp>
    <xdr:clientData/>
  </xdr:twoCellAnchor>
  <xdr:twoCellAnchor>
    <xdr:from>
      <xdr:col>1</xdr:col>
      <xdr:colOff>67709</xdr:colOff>
      <xdr:row>78</xdr:row>
      <xdr:rowOff>28839</xdr:rowOff>
    </xdr:from>
    <xdr:to>
      <xdr:col>11</xdr:col>
      <xdr:colOff>539004</xdr:colOff>
      <xdr:row>87</xdr:row>
      <xdr:rowOff>147121</xdr:rowOff>
    </xdr:to>
    <xdr:sp macro="" textlink="">
      <xdr:nvSpPr>
        <xdr:cNvPr id="11" name="TextBox 8">
          <a:extLst>
            <a:ext uri="{FF2B5EF4-FFF2-40B4-BE49-F238E27FC236}">
              <a16:creationId xmlns:a16="http://schemas.microsoft.com/office/drawing/2014/main" id="{DE1334EC-50BA-D0C4-7031-A39D5D7165C0}"/>
            </a:ext>
          </a:extLst>
        </xdr:cNvPr>
        <xdr:cNvSpPr txBox="1"/>
      </xdr:nvSpPr>
      <xdr:spPr>
        <a:xfrm>
          <a:off x="258209" y="13849614"/>
          <a:ext cx="6100570" cy="18137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LLNAV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Traffic Calls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RadAlt Settings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Low-Level Lookout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Bird/Obstacle Avoidance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Low-Level Engine Failure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 (TLAs)</a:t>
          </a:r>
        </a:p>
      </xdr:txBody>
    </xdr:sp>
    <xdr:clientData/>
  </xdr:twoCellAnchor>
  <xdr:twoCellAnchor>
    <xdr:from>
      <xdr:col>1</xdr:col>
      <xdr:colOff>62419</xdr:colOff>
      <xdr:row>87</xdr:row>
      <xdr:rowOff>42082</xdr:rowOff>
    </xdr:from>
    <xdr:to>
      <xdr:col>6</xdr:col>
      <xdr:colOff>37042</xdr:colOff>
      <xdr:row>95</xdr:row>
      <xdr:rowOff>115827</xdr:rowOff>
    </xdr:to>
    <xdr:sp macro="" textlink="">
      <xdr:nvSpPr>
        <xdr:cNvPr id="12" name="TextBox 9">
          <a:extLst>
            <a:ext uri="{FF2B5EF4-FFF2-40B4-BE49-F238E27FC236}">
              <a16:creationId xmlns:a16="http://schemas.microsoft.com/office/drawing/2014/main" id="{04DC178D-E7CE-3D66-A3FA-410BE75DE9BD}"/>
            </a:ext>
          </a:extLst>
        </xdr:cNvPr>
        <xdr:cNvSpPr txBox="1"/>
      </xdr:nvSpPr>
      <xdr:spPr>
        <a:xfrm>
          <a:off x="252919" y="15558307"/>
          <a:ext cx="3203598" cy="15215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Formation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Closure Rates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Landing Pattern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N2/NR Overspeed (Avoid Rapid Reduction of Collective)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Working Area Traffic</a:t>
          </a:r>
        </a:p>
      </xdr:txBody>
    </xdr:sp>
    <xdr:clientData/>
  </xdr:twoCellAnchor>
  <xdr:twoCellAnchor>
    <xdr:from>
      <xdr:col>1</xdr:col>
      <xdr:colOff>73002</xdr:colOff>
      <xdr:row>95</xdr:row>
      <xdr:rowOff>104296</xdr:rowOff>
    </xdr:from>
    <xdr:to>
      <xdr:col>12</xdr:col>
      <xdr:colOff>14072</xdr:colOff>
      <xdr:row>105</xdr:row>
      <xdr:rowOff>92554</xdr:rowOff>
    </xdr:to>
    <xdr:sp macro="" textlink="">
      <xdr:nvSpPr>
        <xdr:cNvPr id="13" name="TextBox 10">
          <a:extLst>
            <a:ext uri="{FF2B5EF4-FFF2-40B4-BE49-F238E27FC236}">
              <a16:creationId xmlns:a16="http://schemas.microsoft.com/office/drawing/2014/main" id="{B6D89A8D-FDAA-D148-34C3-C4F79CFF30DC}"/>
            </a:ext>
          </a:extLst>
        </xdr:cNvPr>
        <xdr:cNvSpPr txBox="1"/>
      </xdr:nvSpPr>
      <xdr:spPr>
        <a:xfrm>
          <a:off x="263502" y="17068321"/>
          <a:ext cx="6113270" cy="181705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Basic / Radio Instrument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Unusual Attitudes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Working Area Traffic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Missed Approach/Climb Out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Comm Discipline 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Use of Flight Director 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Use of EKB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Fuel Packet / GPU / Contract Fuel</a:t>
          </a:r>
        </a:p>
      </xdr:txBody>
    </xdr:sp>
    <xdr:clientData/>
  </xdr:twoCellAnchor>
  <xdr:twoCellAnchor>
    <xdr:from>
      <xdr:col>1</xdr:col>
      <xdr:colOff>46542</xdr:colOff>
      <xdr:row>106</xdr:row>
      <xdr:rowOff>21923</xdr:rowOff>
    </xdr:from>
    <xdr:to>
      <xdr:col>11</xdr:col>
      <xdr:colOff>527362</xdr:colOff>
      <xdr:row>114</xdr:row>
      <xdr:rowOff>156144</xdr:rowOff>
    </xdr:to>
    <xdr:sp macro="" textlink="">
      <xdr:nvSpPr>
        <xdr:cNvPr id="14" name="TextBox 11">
          <a:extLst>
            <a:ext uri="{FF2B5EF4-FFF2-40B4-BE49-F238E27FC236}">
              <a16:creationId xmlns:a16="http://schemas.microsoft.com/office/drawing/2014/main" id="{6C0A83A8-0A15-D099-FEFD-57CBF820EF19}"/>
            </a:ext>
          </a:extLst>
        </xdr:cNvPr>
        <xdr:cNvSpPr txBox="1"/>
      </xdr:nvSpPr>
      <xdr:spPr>
        <a:xfrm>
          <a:off x="237042" y="19005248"/>
          <a:ext cx="6110095" cy="160107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SAR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Defensive Posturing / Instructor Intervention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DA and Wind Effect on Aircraft Performance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Sea Surface Temperature and Wind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SAR Pattern Setup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CRM while conducting SAR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 Level BI Scan Overwater</a:t>
          </a:r>
        </a:p>
      </xdr:txBody>
    </xdr:sp>
    <xdr:clientData/>
  </xdr:twoCellAnchor>
  <xdr:twoCellAnchor>
    <xdr:from>
      <xdr:col>7</xdr:col>
      <xdr:colOff>5269</xdr:colOff>
      <xdr:row>79</xdr:row>
      <xdr:rowOff>74081</xdr:rowOff>
    </xdr:from>
    <xdr:to>
      <xdr:col>12</xdr:col>
      <xdr:colOff>444500</xdr:colOff>
      <xdr:row>91</xdr:row>
      <xdr:rowOff>106813</xdr:rowOff>
    </xdr:to>
    <xdr:sp macro="" textlink="">
      <xdr:nvSpPr>
        <xdr:cNvPr id="15" name="TextBox 12">
          <a:extLst>
            <a:ext uri="{FF2B5EF4-FFF2-40B4-BE49-F238E27FC236}">
              <a16:creationId xmlns:a16="http://schemas.microsoft.com/office/drawing/2014/main" id="{9FFBDFF3-A170-A5BD-7A61-A3D7E23E4E92}"/>
            </a:ext>
          </a:extLst>
        </xdr:cNvPr>
        <xdr:cNvSpPr txBox="1"/>
      </xdr:nvSpPr>
      <xdr:spPr>
        <a:xfrm>
          <a:off x="3967669" y="14085356"/>
          <a:ext cx="2839531" cy="226158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12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24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237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649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061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473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5886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298" algn="l" defTabSz="101882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 u="sng"/>
            <a:t>Night Mission Specific ORM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Low Work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Closure Rates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Scan Pattern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Use of Lights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Visual Illusions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Temp/ Dew point Spread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RadAlt Settings</a:t>
          </a:r>
        </a:p>
        <a:p>
          <a:pPr marL="228600" indent="-228600">
            <a:buFont typeface="+mj-lt"/>
            <a:buAutoNum type="arabicPeriod"/>
          </a:pPr>
          <a:r>
            <a:rPr lang="en-US" sz="1400"/>
            <a:t>Working Area Traffic</a:t>
          </a:r>
        </a:p>
      </xdr:txBody>
    </xdr:sp>
    <xdr:clientData/>
  </xdr:twoCellAnchor>
  <xdr:twoCellAnchor>
    <xdr:from>
      <xdr:col>1</xdr:col>
      <xdr:colOff>15875</xdr:colOff>
      <xdr:row>19</xdr:row>
      <xdr:rowOff>0</xdr:rowOff>
    </xdr:from>
    <xdr:to>
      <xdr:col>13</xdr:col>
      <xdr:colOff>908</xdr:colOff>
      <xdr:row>35</xdr:row>
      <xdr:rowOff>133350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15875</xdr:colOff>
      <xdr:row>35</xdr:row>
      <xdr:rowOff>127000</xdr:rowOff>
    </xdr:from>
    <xdr:to>
      <xdr:col>12</xdr:col>
      <xdr:colOff>536575</xdr:colOff>
      <xdr:row>53</xdr:row>
      <xdr:rowOff>15875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46</xdr:col>
      <xdr:colOff>74012</xdr:colOff>
      <xdr:row>0</xdr:row>
      <xdr:rowOff>114905</xdr:rowOff>
    </xdr:from>
    <xdr:to>
      <xdr:col>51</xdr:col>
      <xdr:colOff>19717</xdr:colOff>
      <xdr:row>3</xdr:row>
      <xdr:rowOff>162321</xdr:rowOff>
    </xdr:to>
    <xdr:pic>
      <xdr:nvPicPr>
        <xdr:cNvPr id="18" name="Picture 17" descr="HT28 patch.pn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91083" y="114905"/>
          <a:ext cx="698634" cy="80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99786</xdr:colOff>
      <xdr:row>64</xdr:row>
      <xdr:rowOff>136072</xdr:rowOff>
    </xdr:from>
    <xdr:to>
      <xdr:col>18</xdr:col>
      <xdr:colOff>76911</xdr:colOff>
      <xdr:row>68</xdr:row>
      <xdr:rowOff>20202</xdr:rowOff>
    </xdr:to>
    <xdr:pic>
      <xdr:nvPicPr>
        <xdr:cNvPr id="19" name="Picture 18" descr="HT28 patch.png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09215" y="11312072"/>
          <a:ext cx="557696" cy="646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0.65704</cdr:x>
      <cdr:y>0.1043</cdr:y>
    </cdr:from>
    <cdr:to>
      <cdr:x>0.95538</cdr:x>
      <cdr:y>0.19878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67731529-020C-5A4C-BFD0-F170B3DBAE4E}"/>
            </a:ext>
          </a:extLst>
        </cdr:cNvPr>
        <cdr:cNvSpPr txBox="1"/>
      </cdr:nvSpPr>
      <cdr:spPr>
        <a:xfrm xmlns:a="http://schemas.openxmlformats.org/drawingml/2006/main">
          <a:off x="2384425" y="269875"/>
          <a:ext cx="1082675" cy="2444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600" u="sng">
              <a:latin typeface="Times New Roman" panose="02020603050405020304" pitchFamily="18" charset="0"/>
              <a:cs typeface="Times New Roman" panose="02020603050405020304" pitchFamily="18" charset="0"/>
            </a:rPr>
            <a:t>Note</a:t>
          </a:r>
          <a:r>
            <a:rPr lang="en-US" sz="600">
              <a:latin typeface="Times New Roman" panose="02020603050405020304" pitchFamily="18" charset="0"/>
              <a:cs typeface="Times New Roman" panose="02020603050405020304" pitchFamily="18" charset="0"/>
            </a:rPr>
            <a:t>: Hoist</a:t>
          </a:r>
          <a:r>
            <a:rPr lang="en-US" sz="600" baseline="0">
              <a:latin typeface="Times New Roman" panose="02020603050405020304" pitchFamily="18" charset="0"/>
              <a:cs typeface="Times New Roman" panose="02020603050405020304" pitchFamily="18" charset="0"/>
            </a:rPr>
            <a:t> CG limits are identical to normal limits.</a:t>
          </a:r>
          <a:endParaRPr 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6:AF46" totalsRowShown="0">
  <autoFilter ref="A26:AF46" xr:uid="{00000000-0009-0000-0100-000004000000}"/>
  <tableColumns count="32">
    <tableColumn id="1" xr3:uid="{00000000-0010-0000-0000-000001000000}" name="OAT" dataDxfId="76"/>
    <tableColumn id="2" xr3:uid="{00000000-0010-0000-0000-000002000000}" name="PA" dataDxfId="75"/>
    <tableColumn id="3" xr3:uid="{00000000-0010-0000-0000-000003000000}" name="TOP" dataDxfId="74"/>
    <tableColumn id="4" xr3:uid="{00000000-0010-0000-0000-000004000000}" name="MCP" dataDxfId="73"/>
    <tableColumn id="5" xr3:uid="{00000000-0010-0000-0000-000005000000}" name="6283I" dataDxfId="72"/>
    <tableColumn id="6" xr3:uid="{00000000-0010-0000-0000-000006000000}" name="6200I" dataDxfId="71"/>
    <tableColumn id="7" xr3:uid="{00000000-0010-0000-0000-000007000000}" name="6000I" dataDxfId="70"/>
    <tableColumn id="8" xr3:uid="{00000000-0010-0000-0000-000008000000}" name="5800I" dataDxfId="69"/>
    <tableColumn id="9" xr3:uid="{00000000-0010-0000-0000-000009000000}" name="5600I" dataDxfId="68"/>
    <tableColumn id="10" xr3:uid="{00000000-0010-0000-0000-00000A000000}" name="5400I" dataDxfId="67"/>
    <tableColumn id="11" xr3:uid="{00000000-0010-0000-0000-00000B000000}" name="5200I" dataDxfId="66"/>
    <tableColumn id="12" xr3:uid="{00000000-0010-0000-0000-00000C000000}" name="5000I" dataDxfId="65"/>
    <tableColumn id="13" xr3:uid="{00000000-0010-0000-0000-00000D000000}" name="4800I" dataDxfId="64"/>
    <tableColumn id="14" xr3:uid="{00000000-0010-0000-0000-00000E000000}" name="4600I" dataDxfId="63"/>
    <tableColumn id="15" xr3:uid="{00000000-0010-0000-0000-00000F000000}" name="4400I" dataDxfId="62"/>
    <tableColumn id="16" xr3:uid="{00000000-0010-0000-0000-000010000000}" name="4200I" dataDxfId="61"/>
    <tableColumn id="17" xr3:uid="{00000000-0010-0000-0000-000011000000}" name="4000I" dataDxfId="60"/>
    <tableColumn id="18" xr3:uid="{00000000-0010-0000-0000-000012000000}" name="3803I" dataDxfId="59"/>
    <tableColumn id="19" xr3:uid="{00000000-0010-0000-0000-000013000000}" name="6283O" dataDxfId="58"/>
    <tableColumn id="20" xr3:uid="{00000000-0010-0000-0000-000014000000}" name="6200O" dataDxfId="57"/>
    <tableColumn id="21" xr3:uid="{00000000-0010-0000-0000-000015000000}" name="6000O" dataDxfId="56"/>
    <tableColumn id="22" xr3:uid="{00000000-0010-0000-0000-000016000000}" name="5800O" dataDxfId="55"/>
    <tableColumn id="23" xr3:uid="{00000000-0010-0000-0000-000017000000}" name="5600O" dataDxfId="54"/>
    <tableColumn id="24" xr3:uid="{00000000-0010-0000-0000-000018000000}" name="5400O" dataDxfId="53"/>
    <tableColumn id="25" xr3:uid="{00000000-0010-0000-0000-000019000000}" name="5200O" dataDxfId="52"/>
    <tableColumn id="26" xr3:uid="{00000000-0010-0000-0000-00001A000000}" name="5000O" dataDxfId="51"/>
    <tableColumn id="27" xr3:uid="{00000000-0010-0000-0000-00001B000000}" name="4800O" dataDxfId="50"/>
    <tableColumn id="28" xr3:uid="{00000000-0010-0000-0000-00001C000000}" name="4600O" dataDxfId="49"/>
    <tableColumn id="29" xr3:uid="{00000000-0010-0000-0000-00001D000000}" name="4400O" dataDxfId="48"/>
    <tableColumn id="30" xr3:uid="{00000000-0010-0000-0000-00001E000000}" name="4200O" dataDxfId="47"/>
    <tableColumn id="31" xr3:uid="{00000000-0010-0000-0000-00001F000000}" name="4000O" dataDxfId="46"/>
    <tableColumn id="32" xr3:uid="{00000000-0010-0000-0000-000020000000}" name="3803O" dataDxfId="4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E62" totalsRowShown="0" headerRowDxfId="44" dataDxfId="42" headerRowBorderDxfId="43">
  <autoFilter ref="A1:E62" xr:uid="{00000000-0009-0000-0100-000001000000}"/>
  <sortState xmlns:xlrd2="http://schemas.microsoft.com/office/spreadsheetml/2017/richdata2" ref="A2:E25">
    <sortCondition ref="A1:A62"/>
  </sortState>
  <tableColumns count="5">
    <tableColumn id="1" xr3:uid="{00000000-0010-0000-0100-000001000000}" name="Last" dataDxfId="41"/>
    <tableColumn id="2" xr3:uid="{00000000-0010-0000-0100-000002000000}" name="First" dataDxfId="40"/>
    <tableColumn id="3" xr3:uid="{00000000-0010-0000-0100-000003000000}" name="Rank" dataDxfId="39"/>
    <tableColumn id="4" xr3:uid="{00000000-0010-0000-0100-000004000000}" name="Unit" dataDxfId="38"/>
    <tableColumn id="5" xr3:uid="{00000000-0010-0000-0100-000005000000}" name="Member Weight" dataDxfId="3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76"/>
  <sheetViews>
    <sheetView topLeftCell="A46" zoomScale="101" workbookViewId="0">
      <selection activeCell="H48" sqref="H48"/>
    </sheetView>
  </sheetViews>
  <sheetFormatPr defaultColWidth="11.42578125" defaultRowHeight="15" x14ac:dyDescent="0.25"/>
  <cols>
    <col min="1" max="1" width="21.85546875" style="142" customWidth="1"/>
    <col min="2" max="2" width="14.42578125" style="142" customWidth="1"/>
    <col min="3" max="3" width="2" style="142" customWidth="1"/>
    <col min="4" max="4" width="14.42578125" style="142" customWidth="1"/>
    <col min="5" max="5" width="1.85546875" style="142" customWidth="1"/>
    <col min="6" max="6" width="13.85546875" style="142" customWidth="1"/>
    <col min="7" max="7" width="4.85546875" style="142" customWidth="1"/>
    <col min="8" max="8" width="11.42578125" style="142"/>
    <col min="9" max="9" width="11.42578125" style="142" customWidth="1"/>
    <col min="10" max="16384" width="11.42578125" style="142"/>
  </cols>
  <sheetData>
    <row r="1" spans="1:12" x14ac:dyDescent="0.25">
      <c r="A1" s="147" t="s">
        <v>176</v>
      </c>
      <c r="L1" s="221"/>
    </row>
    <row r="2" spans="1:12" x14ac:dyDescent="0.25">
      <c r="L2" s="143"/>
    </row>
    <row r="3" spans="1:12" x14ac:dyDescent="0.25">
      <c r="A3" s="141" t="s">
        <v>178</v>
      </c>
      <c r="L3" s="143"/>
    </row>
    <row r="4" spans="1:12" x14ac:dyDescent="0.25">
      <c r="A4" s="143" t="s">
        <v>179</v>
      </c>
      <c r="B4" s="158">
        <f ca="1">TODAY()</f>
        <v>45923</v>
      </c>
      <c r="D4" s="228" t="s">
        <v>156</v>
      </c>
      <c r="E4" s="143"/>
      <c r="F4" s="228" t="s">
        <v>518</v>
      </c>
      <c r="L4" s="143"/>
    </row>
    <row r="5" spans="1:12" x14ac:dyDescent="0.25">
      <c r="A5" s="143" t="s">
        <v>180</v>
      </c>
      <c r="B5" s="159"/>
      <c r="D5" s="264" t="s">
        <v>374</v>
      </c>
      <c r="E5" s="143"/>
      <c r="F5" s="264" t="s">
        <v>520</v>
      </c>
      <c r="L5" s="143"/>
    </row>
    <row r="6" spans="1:12" x14ac:dyDescent="0.25">
      <c r="A6" s="143" t="s">
        <v>183</v>
      </c>
      <c r="B6" s="159"/>
      <c r="D6" s="264" t="s">
        <v>374</v>
      </c>
      <c r="E6" s="143"/>
      <c r="F6" s="264" t="s">
        <v>519</v>
      </c>
      <c r="L6" s="143"/>
    </row>
    <row r="7" spans="1:12" x14ac:dyDescent="0.25">
      <c r="A7" s="143" t="s">
        <v>184</v>
      </c>
      <c r="B7" s="159" t="s">
        <v>387</v>
      </c>
      <c r="D7" s="264"/>
      <c r="E7" s="143"/>
      <c r="F7" s="264" t="s">
        <v>521</v>
      </c>
      <c r="L7" s="143"/>
    </row>
    <row r="8" spans="1:12" x14ac:dyDescent="0.25">
      <c r="A8" s="143" t="s">
        <v>163</v>
      </c>
      <c r="B8" s="159" t="s">
        <v>387</v>
      </c>
      <c r="D8" s="264"/>
      <c r="E8" s="143"/>
      <c r="F8" s="264" t="s">
        <v>522</v>
      </c>
      <c r="L8" s="143"/>
    </row>
    <row r="9" spans="1:12" x14ac:dyDescent="0.25">
      <c r="A9" s="143" t="s">
        <v>163</v>
      </c>
      <c r="B9" s="159" t="s">
        <v>387</v>
      </c>
      <c r="D9" s="264"/>
      <c r="E9" s="143"/>
      <c r="F9" s="264" t="s">
        <v>523</v>
      </c>
      <c r="L9" s="143"/>
    </row>
    <row r="10" spans="1:12" x14ac:dyDescent="0.25">
      <c r="A10" s="143" t="s">
        <v>181</v>
      </c>
      <c r="B10" s="159"/>
    </row>
    <row r="11" spans="1:12" x14ac:dyDescent="0.25">
      <c r="A11" s="143" t="s">
        <v>157</v>
      </c>
      <c r="B11" s="159" t="s">
        <v>113</v>
      </c>
    </row>
    <row r="12" spans="1:12" x14ac:dyDescent="0.25">
      <c r="A12" s="143" t="s">
        <v>158</v>
      </c>
      <c r="B12" s="159" t="s">
        <v>113</v>
      </c>
    </row>
    <row r="13" spans="1:12" x14ac:dyDescent="0.25">
      <c r="A13" s="143" t="s">
        <v>182</v>
      </c>
      <c r="B13" s="159"/>
    </row>
    <row r="14" spans="1:12" ht="18.75" x14ac:dyDescent="0.3">
      <c r="A14" s="143" t="s">
        <v>146</v>
      </c>
      <c r="B14" s="159"/>
      <c r="D14" s="143"/>
      <c r="E14" s="143"/>
      <c r="H14" s="358" t="s">
        <v>290</v>
      </c>
    </row>
    <row r="15" spans="1:12" x14ac:dyDescent="0.25">
      <c r="A15" s="141" t="s">
        <v>123</v>
      </c>
      <c r="H15" s="143" t="s">
        <v>291</v>
      </c>
      <c r="I15" s="142" t="s">
        <v>292</v>
      </c>
    </row>
    <row r="16" spans="1:12" x14ac:dyDescent="0.25">
      <c r="A16" s="143" t="s">
        <v>267</v>
      </c>
      <c r="B16" s="160"/>
      <c r="H16" s="143" t="s">
        <v>293</v>
      </c>
      <c r="I16" s="142" t="s">
        <v>294</v>
      </c>
    </row>
    <row r="17" spans="1:9" x14ac:dyDescent="0.25">
      <c r="A17" s="143" t="s">
        <v>152</v>
      </c>
      <c r="B17" s="160"/>
      <c r="H17" s="143" t="s">
        <v>295</v>
      </c>
      <c r="I17" s="142" t="s">
        <v>296</v>
      </c>
    </row>
    <row r="18" spans="1:9" x14ac:dyDescent="0.25">
      <c r="A18" s="143" t="s">
        <v>268</v>
      </c>
      <c r="B18" s="160"/>
      <c r="H18" s="143" t="s">
        <v>297</v>
      </c>
      <c r="I18" s="142" t="s">
        <v>298</v>
      </c>
    </row>
    <row r="19" spans="1:9" x14ac:dyDescent="0.25">
      <c r="A19" s="143" t="s">
        <v>269</v>
      </c>
      <c r="B19" s="160"/>
      <c r="H19" s="143" t="s">
        <v>299</v>
      </c>
      <c r="I19" s="142" t="s">
        <v>623</v>
      </c>
    </row>
    <row r="20" spans="1:9" x14ac:dyDescent="0.25">
      <c r="A20" s="143" t="s">
        <v>270</v>
      </c>
      <c r="B20" s="160"/>
    </row>
    <row r="21" spans="1:9" x14ac:dyDescent="0.25">
      <c r="A21" s="141" t="s">
        <v>122</v>
      </c>
    </row>
    <row r="22" spans="1:9" x14ac:dyDescent="0.25">
      <c r="A22" s="143" t="s">
        <v>124</v>
      </c>
      <c r="B22" s="161"/>
      <c r="C22" s="142" t="s">
        <v>135</v>
      </c>
    </row>
    <row r="23" spans="1:9" x14ac:dyDescent="0.25">
      <c r="A23" s="143" t="s">
        <v>126</v>
      </c>
      <c r="B23" s="161"/>
      <c r="D23" s="163"/>
      <c r="F23" s="142" t="s">
        <v>134</v>
      </c>
    </row>
    <row r="24" spans="1:9" x14ac:dyDescent="0.25">
      <c r="A24" s="143" t="s">
        <v>127</v>
      </c>
      <c r="B24" s="162"/>
      <c r="C24" s="142" t="s">
        <v>136</v>
      </c>
    </row>
    <row r="25" spans="1:9" x14ac:dyDescent="0.25">
      <c r="A25" s="143" t="s">
        <v>128</v>
      </c>
      <c r="B25" s="378"/>
      <c r="C25" s="379"/>
      <c r="D25" s="379"/>
      <c r="E25" s="379"/>
      <c r="F25" s="379"/>
      <c r="G25" s="379"/>
      <c r="H25" s="380"/>
      <c r="I25" s="357"/>
    </row>
    <row r="26" spans="1:9" x14ac:dyDescent="0.25">
      <c r="A26" s="143" t="s">
        <v>129</v>
      </c>
      <c r="B26" s="164"/>
      <c r="C26" s="142" t="s">
        <v>137</v>
      </c>
    </row>
    <row r="27" spans="1:9" x14ac:dyDescent="0.25">
      <c r="A27" s="143" t="s">
        <v>130</v>
      </c>
      <c r="B27" s="163"/>
      <c r="C27" s="142" t="s">
        <v>137</v>
      </c>
    </row>
    <row r="28" spans="1:9" x14ac:dyDescent="0.25">
      <c r="A28" s="143" t="s">
        <v>131</v>
      </c>
      <c r="B28" s="163"/>
      <c r="C28" s="142" t="s">
        <v>137</v>
      </c>
    </row>
    <row r="29" spans="1:9" x14ac:dyDescent="0.25">
      <c r="A29" s="143" t="s">
        <v>132</v>
      </c>
      <c r="B29" s="165"/>
      <c r="C29" s="142" t="s">
        <v>265</v>
      </c>
    </row>
    <row r="30" spans="1:9" x14ac:dyDescent="0.25">
      <c r="A30" s="143" t="s">
        <v>133</v>
      </c>
      <c r="B30" s="163"/>
      <c r="C30" s="142" t="s">
        <v>262</v>
      </c>
    </row>
    <row r="31" spans="1:9" x14ac:dyDescent="0.25">
      <c r="A31" s="143" t="s">
        <v>140</v>
      </c>
      <c r="B31" s="163"/>
      <c r="C31" s="142" t="s">
        <v>139</v>
      </c>
    </row>
    <row r="32" spans="1:9" x14ac:dyDescent="0.25">
      <c r="A32" s="143" t="s">
        <v>141</v>
      </c>
      <c r="B32" s="163"/>
      <c r="C32" s="142" t="s">
        <v>139</v>
      </c>
    </row>
    <row r="33" spans="1:11" x14ac:dyDescent="0.25">
      <c r="A33" s="143" t="s">
        <v>142</v>
      </c>
      <c r="B33" s="163"/>
      <c r="C33" s="142" t="s">
        <v>139</v>
      </c>
    </row>
    <row r="34" spans="1:11" x14ac:dyDescent="0.25">
      <c r="A34" s="143" t="s">
        <v>143</v>
      </c>
      <c r="B34" s="163"/>
      <c r="C34" s="142" t="s">
        <v>139</v>
      </c>
    </row>
    <row r="35" spans="1:11" x14ac:dyDescent="0.25">
      <c r="A35" s="143" t="s">
        <v>300</v>
      </c>
      <c r="B35" s="163"/>
      <c r="C35" s="142" t="s">
        <v>138</v>
      </c>
    </row>
    <row r="36" spans="1:11" x14ac:dyDescent="0.25">
      <c r="A36" s="143" t="s">
        <v>147</v>
      </c>
      <c r="B36" s="161"/>
      <c r="C36" s="144" t="s">
        <v>144</v>
      </c>
      <c r="D36" s="145"/>
      <c r="E36" s="145"/>
      <c r="F36" s="377"/>
      <c r="G36" s="377"/>
      <c r="H36" s="377"/>
      <c r="I36" s="377"/>
      <c r="J36" s="377"/>
      <c r="K36" s="377"/>
    </row>
    <row r="37" spans="1:11" x14ac:dyDescent="0.25">
      <c r="A37" s="143" t="s">
        <v>148</v>
      </c>
      <c r="B37" s="161"/>
      <c r="C37" s="144" t="s">
        <v>144</v>
      </c>
      <c r="D37" s="145"/>
      <c r="E37" s="145"/>
      <c r="F37" s="377"/>
      <c r="G37" s="377"/>
      <c r="H37" s="377"/>
      <c r="I37" s="377"/>
      <c r="J37" s="377"/>
      <c r="K37" s="377"/>
    </row>
    <row r="38" spans="1:11" x14ac:dyDescent="0.25">
      <c r="A38" s="143" t="s">
        <v>149</v>
      </c>
      <c r="B38" s="161"/>
      <c r="C38" s="144" t="s">
        <v>144</v>
      </c>
      <c r="D38" s="145"/>
      <c r="E38" s="145"/>
      <c r="F38" s="377"/>
      <c r="G38" s="377"/>
      <c r="H38" s="377"/>
      <c r="I38" s="377"/>
      <c r="J38" s="377"/>
      <c r="K38" s="377"/>
    </row>
    <row r="40" spans="1:11" x14ac:dyDescent="0.25">
      <c r="A40" s="148" t="s">
        <v>145</v>
      </c>
    </row>
    <row r="41" spans="1:11" x14ac:dyDescent="0.25">
      <c r="A41" s="149" t="s">
        <v>306</v>
      </c>
    </row>
    <row r="42" spans="1:11" x14ac:dyDescent="0.25">
      <c r="A42" s="143" t="s">
        <v>302</v>
      </c>
      <c r="B42" s="166">
        <v>700</v>
      </c>
    </row>
    <row r="43" spans="1:11" x14ac:dyDescent="0.25">
      <c r="A43" s="143" t="s">
        <v>303</v>
      </c>
      <c r="B43" s="166">
        <v>123456</v>
      </c>
    </row>
    <row r="44" spans="1:11" x14ac:dyDescent="0.25">
      <c r="A44" s="143" t="s">
        <v>304</v>
      </c>
      <c r="B44" s="166">
        <v>4000</v>
      </c>
      <c r="C44" s="142" t="s">
        <v>150</v>
      </c>
    </row>
    <row r="45" spans="1:11" x14ac:dyDescent="0.25">
      <c r="A45" s="143" t="s">
        <v>305</v>
      </c>
      <c r="B45" s="166">
        <v>570000</v>
      </c>
      <c r="C45" s="142" t="s">
        <v>185</v>
      </c>
    </row>
    <row r="46" spans="1:11" x14ac:dyDescent="0.25">
      <c r="A46" s="143" t="s">
        <v>301</v>
      </c>
      <c r="B46" s="166">
        <v>50</v>
      </c>
      <c r="C46" s="142" t="s">
        <v>185</v>
      </c>
    </row>
    <row r="47" spans="1:11" x14ac:dyDescent="0.25">
      <c r="A47" s="146"/>
    </row>
    <row r="48" spans="1:11" x14ac:dyDescent="0.25">
      <c r="A48" s="149" t="s">
        <v>377</v>
      </c>
      <c r="G48" s="263" t="s">
        <v>378</v>
      </c>
    </row>
    <row r="49" spans="1:7" x14ac:dyDescent="0.25">
      <c r="A49" s="143" t="s">
        <v>161</v>
      </c>
      <c r="B49" s="166">
        <v>200</v>
      </c>
      <c r="C49" s="142" t="s">
        <v>150</v>
      </c>
      <c r="G49" s="142" t="s">
        <v>379</v>
      </c>
    </row>
    <row r="50" spans="1:7" x14ac:dyDescent="0.25">
      <c r="A50" s="143" t="s">
        <v>162</v>
      </c>
      <c r="B50" s="166">
        <v>150</v>
      </c>
      <c r="C50" s="142" t="s">
        <v>150</v>
      </c>
      <c r="G50" s="142" t="s">
        <v>380</v>
      </c>
    </row>
    <row r="51" spans="1:7" x14ac:dyDescent="0.25">
      <c r="A51" s="143" t="s">
        <v>184</v>
      </c>
      <c r="B51" s="166">
        <v>160</v>
      </c>
      <c r="C51" s="142" t="s">
        <v>150</v>
      </c>
    </row>
    <row r="52" spans="1:7" x14ac:dyDescent="0.25">
      <c r="A52" s="143" t="s">
        <v>163</v>
      </c>
      <c r="B52" s="166">
        <v>175</v>
      </c>
      <c r="C52" s="142" t="s">
        <v>150</v>
      </c>
    </row>
    <row r="53" spans="1:7" x14ac:dyDescent="0.25">
      <c r="A53" s="143" t="s">
        <v>163</v>
      </c>
      <c r="B53" s="166"/>
      <c r="C53" s="142" t="s">
        <v>150</v>
      </c>
    </row>
    <row r="54" spans="1:7" x14ac:dyDescent="0.25">
      <c r="A54" s="143"/>
    </row>
    <row r="55" spans="1:7" x14ac:dyDescent="0.25">
      <c r="A55" s="149" t="s">
        <v>151</v>
      </c>
    </row>
    <row r="56" spans="1:7" x14ac:dyDescent="0.25">
      <c r="A56" s="143" t="s">
        <v>152</v>
      </c>
      <c r="B56" s="166">
        <v>950</v>
      </c>
      <c r="C56" s="142" t="s">
        <v>150</v>
      </c>
    </row>
    <row r="57" spans="1:7" x14ac:dyDescent="0.25">
      <c r="A57" s="143" t="s">
        <v>153</v>
      </c>
      <c r="B57" s="166">
        <v>50</v>
      </c>
      <c r="C57" s="142" t="s">
        <v>150</v>
      </c>
    </row>
    <row r="58" spans="1:7" x14ac:dyDescent="0.25">
      <c r="A58" s="143" t="s">
        <v>154</v>
      </c>
      <c r="B58" s="166"/>
      <c r="C58" s="142" t="s">
        <v>150</v>
      </c>
    </row>
    <row r="59" spans="1:7" x14ac:dyDescent="0.25">
      <c r="A59" s="143" t="s">
        <v>155</v>
      </c>
      <c r="B59" s="166"/>
      <c r="C59" s="142" t="s">
        <v>150</v>
      </c>
    </row>
    <row r="61" spans="1:7" x14ac:dyDescent="0.25">
      <c r="A61" s="149" t="s">
        <v>156</v>
      </c>
    </row>
    <row r="62" spans="1:7" x14ac:dyDescent="0.25">
      <c r="A62" s="143" t="s">
        <v>170</v>
      </c>
      <c r="B62" s="166">
        <v>30</v>
      </c>
      <c r="C62" s="142" t="s">
        <v>150</v>
      </c>
    </row>
    <row r="63" spans="1:7" x14ac:dyDescent="0.25">
      <c r="B63" s="167">
        <v>62.4</v>
      </c>
      <c r="C63" s="142" t="s">
        <v>159</v>
      </c>
    </row>
    <row r="64" spans="1:7" x14ac:dyDescent="0.25">
      <c r="B64" s="167">
        <v>0</v>
      </c>
      <c r="C64" s="142" t="s">
        <v>160</v>
      </c>
    </row>
    <row r="65" spans="1:3" x14ac:dyDescent="0.25">
      <c r="A65" s="143" t="s">
        <v>171</v>
      </c>
      <c r="B65" s="166">
        <v>10</v>
      </c>
      <c r="C65" s="142" t="s">
        <v>150</v>
      </c>
    </row>
    <row r="66" spans="1:3" x14ac:dyDescent="0.25">
      <c r="B66" s="167">
        <v>97</v>
      </c>
      <c r="C66" s="142" t="s">
        <v>159</v>
      </c>
    </row>
    <row r="67" spans="1:3" x14ac:dyDescent="0.25">
      <c r="B67" s="167">
        <v>0</v>
      </c>
      <c r="C67" s="142" t="s">
        <v>160</v>
      </c>
    </row>
    <row r="68" spans="1:3" x14ac:dyDescent="0.25">
      <c r="A68" s="149" t="s">
        <v>9</v>
      </c>
    </row>
    <row r="69" spans="1:3" x14ac:dyDescent="0.25">
      <c r="A69" s="143" t="s">
        <v>172</v>
      </c>
      <c r="B69" s="166">
        <v>0</v>
      </c>
      <c r="C69" s="142" t="s">
        <v>150</v>
      </c>
    </row>
    <row r="70" spans="1:3" x14ac:dyDescent="0.25">
      <c r="A70" s="143" t="s">
        <v>173</v>
      </c>
      <c r="B70" s="166">
        <v>0</v>
      </c>
      <c r="C70" s="142" t="s">
        <v>150</v>
      </c>
    </row>
    <row r="71" spans="1:3" x14ac:dyDescent="0.25">
      <c r="A71" s="143" t="s">
        <v>174</v>
      </c>
      <c r="B71" s="166">
        <v>0</v>
      </c>
      <c r="C71" s="142" t="s">
        <v>150</v>
      </c>
    </row>
    <row r="73" spans="1:3" x14ac:dyDescent="0.25">
      <c r="A73" s="150" t="s">
        <v>177</v>
      </c>
    </row>
    <row r="74" spans="1:3" x14ac:dyDescent="0.25">
      <c r="A74" s="143" t="s">
        <v>168</v>
      </c>
      <c r="B74" s="166">
        <v>150</v>
      </c>
      <c r="C74" s="142" t="s">
        <v>150</v>
      </c>
    </row>
    <row r="75" spans="1:3" x14ac:dyDescent="0.25">
      <c r="A75" s="143" t="s">
        <v>169</v>
      </c>
      <c r="B75" s="166">
        <v>150</v>
      </c>
      <c r="C75" s="142" t="s">
        <v>150</v>
      </c>
    </row>
    <row r="76" spans="1:3" x14ac:dyDescent="0.25">
      <c r="A76" s="143" t="s">
        <v>287</v>
      </c>
      <c r="B76" s="159" t="s">
        <v>85</v>
      </c>
    </row>
  </sheetData>
  <mergeCells count="4">
    <mergeCell ref="F36:K36"/>
    <mergeCell ref="F37:K37"/>
    <mergeCell ref="F38:K38"/>
    <mergeCell ref="B25:H25"/>
  </mergeCells>
  <conditionalFormatting sqref="B42:B46">
    <cfRule type="expression" dxfId="36" priority="11">
      <formula>NOT($B$13="Other")</formula>
    </cfRule>
  </conditionalFormatting>
  <conditionalFormatting sqref="B49">
    <cfRule type="expression" dxfId="35" priority="9">
      <formula>NOT($B$5="Other")</formula>
    </cfRule>
  </conditionalFormatting>
  <conditionalFormatting sqref="B50">
    <cfRule type="expression" dxfId="34" priority="26">
      <formula>NOT($B$6="Other")</formula>
    </cfRule>
  </conditionalFormatting>
  <conditionalFormatting sqref="B51">
    <cfRule type="expression" dxfId="33" priority="25">
      <formula>NOT($B$7="Other")</formula>
    </cfRule>
  </conditionalFormatting>
  <conditionalFormatting sqref="B52:B53">
    <cfRule type="expression" dxfId="32" priority="6">
      <formula>NOT($B8="Other")</formula>
    </cfRule>
  </conditionalFormatting>
  <conditionalFormatting sqref="B58">
    <cfRule type="expression" dxfId="31" priority="4" stopIfTrue="1">
      <formula>NOT($B$11="YES")</formula>
    </cfRule>
  </conditionalFormatting>
  <conditionalFormatting sqref="B59">
    <cfRule type="expression" dxfId="30" priority="3">
      <formula>NOT($B$12="YES")</formula>
    </cfRule>
  </conditionalFormatting>
  <conditionalFormatting sqref="B74">
    <cfRule type="expression" dxfId="29" priority="2">
      <formula>NOT($B$11="YES")</formula>
    </cfRule>
    <cfRule type="expression" dxfId="28" priority="15">
      <formula>$B$11="NO"</formula>
    </cfRule>
  </conditionalFormatting>
  <conditionalFormatting sqref="B75">
    <cfRule type="expression" dxfId="27" priority="1">
      <formula>NOT($B$12="YES")</formula>
    </cfRule>
    <cfRule type="expression" dxfId="26" priority="14">
      <formula>$B$12="NO"</formula>
    </cfRule>
  </conditionalFormatting>
  <conditionalFormatting sqref="F5:F9">
    <cfRule type="duplicateValues" dxfId="25" priority="5"/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'Reference Tables'!$A$64:$A$65</xm:f>
          </x14:formula1>
          <xm:sqref>B11:B12</xm:sqref>
        </x14:dataValidation>
        <x14:dataValidation type="list" allowBlank="1" showInputMessage="1" showErrorMessage="1" xr:uid="{00000000-0002-0000-0000-000001000000}">
          <x14:formula1>
            <xm:f>'Reference Tables'!$A$3:$A$5</xm:f>
          </x14:formula1>
          <xm:sqref>B76</xm:sqref>
        </x14:dataValidation>
        <x14:dataValidation type="list" allowBlank="1" showInputMessage="1" showErrorMessage="1" xr:uid="{00000000-0002-0000-0000-000002000000}">
          <x14:formula1>
            <xm:f>'Reference Tables'!$A$255:$A$257</xm:f>
          </x14:formula1>
          <xm:sqref>F7:F9</xm:sqref>
        </x14:dataValidation>
        <x14:dataValidation type="list" allowBlank="1" showInputMessage="1" showErrorMessage="1" xr:uid="{00000000-0002-0000-0000-000003000000}">
          <x14:formula1>
            <xm:f>'Reference Tables'!$A$253:$A$254</xm:f>
          </x14:formula1>
          <xm:sqref>F5:F6</xm:sqref>
        </x14:dataValidation>
        <x14:dataValidation type="list" allowBlank="1" showInputMessage="1" showErrorMessage="1" xr:uid="{00000000-0002-0000-0000-000004000000}">
          <x14:formula1>
            <xm:f>'Reference Tables'!$B$262:$B$263</xm:f>
          </x14:formula1>
          <xm:sqref>D5:D9</xm:sqref>
        </x14:dataValidation>
        <x14:dataValidation type="list" allowBlank="1" showInputMessage="1" showErrorMessage="1" xr:uid="{00000000-0002-0000-0000-000005000000}">
          <x14:formula1>
            <xm:f>'Reference Tables'!$A$69:$A$213</xm:f>
          </x14:formula1>
          <xm:sqref>B13</xm:sqref>
        </x14:dataValidation>
        <x14:dataValidation type="list" allowBlank="1" showInputMessage="1" showErrorMessage="1" xr:uid="{00000000-0002-0000-0000-000006000000}">
          <x14:formula1>
            <xm:f>'Crew W&amp;B'!$A$4:$A$62</xm:f>
          </x14:formula1>
          <xm:sqref>B5:B9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tabColor theme="8" tint="0.79998168889431442"/>
  </sheetPr>
  <dimension ref="A1:S107"/>
  <sheetViews>
    <sheetView workbookViewId="0">
      <selection activeCell="G71" sqref="G71"/>
    </sheetView>
  </sheetViews>
  <sheetFormatPr defaultColWidth="8.85546875" defaultRowHeight="15" x14ac:dyDescent="0.25"/>
  <cols>
    <col min="1" max="1" width="14.42578125" customWidth="1"/>
    <col min="2" max="2" width="16.140625" customWidth="1"/>
    <col min="3" max="3" width="21.42578125" customWidth="1"/>
    <col min="4" max="4" width="22.85546875" customWidth="1"/>
    <col min="5" max="5" width="15.140625" customWidth="1"/>
    <col min="6" max="7" width="12.85546875" customWidth="1"/>
    <col min="8" max="8" width="16.42578125" customWidth="1"/>
    <col min="9" max="9" width="14.85546875" customWidth="1"/>
  </cols>
  <sheetData>
    <row r="1" spans="1:19" x14ac:dyDescent="0.25">
      <c r="L1" t="s">
        <v>0</v>
      </c>
      <c r="S1" t="s">
        <v>1</v>
      </c>
    </row>
    <row r="2" spans="1:19" x14ac:dyDescent="0.25">
      <c r="A2" s="778" t="s">
        <v>3</v>
      </c>
      <c r="B2" s="778"/>
      <c r="D2" s="778" t="s">
        <v>12</v>
      </c>
      <c r="E2" s="778"/>
      <c r="F2" s="778"/>
      <c r="G2" s="778"/>
    </row>
    <row r="3" spans="1:19" ht="45" x14ac:dyDescent="0.25">
      <c r="A3" s="3" t="s">
        <v>4</v>
      </c>
      <c r="B3" s="4" t="s">
        <v>5</v>
      </c>
      <c r="D3" s="4" t="s">
        <v>13</v>
      </c>
      <c r="E3" s="4" t="s">
        <v>14</v>
      </c>
      <c r="F3" s="4" t="s">
        <v>74</v>
      </c>
      <c r="G3" s="4" t="s">
        <v>16</v>
      </c>
      <c r="H3" s="1"/>
    </row>
    <row r="4" spans="1:19" x14ac:dyDescent="0.25">
      <c r="A4" s="3" t="s">
        <v>6</v>
      </c>
      <c r="B4" s="3">
        <v>350</v>
      </c>
      <c r="D4" s="3" t="s">
        <v>17</v>
      </c>
      <c r="E4" s="8">
        <v>-8</v>
      </c>
      <c r="F4" s="3">
        <v>2650</v>
      </c>
      <c r="G4" s="3">
        <v>-21200</v>
      </c>
    </row>
    <row r="5" spans="1:19" x14ac:dyDescent="0.25">
      <c r="A5" s="3" t="s">
        <v>7</v>
      </c>
      <c r="B5" s="3">
        <v>-325</v>
      </c>
      <c r="D5" s="3" t="s">
        <v>18</v>
      </c>
      <c r="E5" s="8">
        <v>-8</v>
      </c>
      <c r="F5" s="3">
        <v>2650</v>
      </c>
      <c r="G5" s="3">
        <v>-21200</v>
      </c>
    </row>
    <row r="6" spans="1:19" x14ac:dyDescent="0.25">
      <c r="A6" s="3" t="s">
        <v>8</v>
      </c>
      <c r="B6" s="5"/>
      <c r="D6" s="3" t="s">
        <v>19</v>
      </c>
      <c r="E6" s="3">
        <v>0</v>
      </c>
      <c r="F6" s="3">
        <v>3650</v>
      </c>
      <c r="G6" s="3">
        <v>8000</v>
      </c>
    </row>
    <row r="7" spans="1:19" x14ac:dyDescent="0.25">
      <c r="A7" s="6" t="s">
        <v>75</v>
      </c>
      <c r="B7" s="3">
        <v>-430</v>
      </c>
      <c r="D7" s="3" t="s">
        <v>20</v>
      </c>
      <c r="E7" s="3">
        <v>0</v>
      </c>
      <c r="F7" s="3">
        <v>3650</v>
      </c>
      <c r="G7" s="3">
        <v>8000</v>
      </c>
    </row>
    <row r="8" spans="1:19" x14ac:dyDescent="0.25">
      <c r="A8" s="6" t="s">
        <v>76</v>
      </c>
      <c r="B8" s="3">
        <v>0</v>
      </c>
    </row>
    <row r="9" spans="1:19" x14ac:dyDescent="0.25">
      <c r="A9" s="6" t="s">
        <v>77</v>
      </c>
      <c r="B9" s="3">
        <v>430</v>
      </c>
    </row>
    <row r="10" spans="1:19" x14ac:dyDescent="0.25">
      <c r="A10" s="6" t="s">
        <v>78</v>
      </c>
      <c r="B10" s="3">
        <v>-430</v>
      </c>
      <c r="S10" t="s">
        <v>2</v>
      </c>
    </row>
    <row r="11" spans="1:19" x14ac:dyDescent="0.25">
      <c r="A11" s="6" t="s">
        <v>79</v>
      </c>
      <c r="B11" s="3">
        <v>0</v>
      </c>
    </row>
    <row r="12" spans="1:19" x14ac:dyDescent="0.25">
      <c r="A12" s="6" t="s">
        <v>80</v>
      </c>
      <c r="B12" s="3">
        <v>430</v>
      </c>
    </row>
    <row r="13" spans="1:19" x14ac:dyDescent="0.25">
      <c r="A13" s="3" t="s">
        <v>9</v>
      </c>
      <c r="B13" s="3">
        <v>0</v>
      </c>
    </row>
    <row r="14" spans="1:19" x14ac:dyDescent="0.25">
      <c r="A14" s="3" t="s">
        <v>10</v>
      </c>
      <c r="B14" s="3">
        <v>0</v>
      </c>
    </row>
    <row r="15" spans="1:19" x14ac:dyDescent="0.25">
      <c r="A15" s="7" t="s">
        <v>11</v>
      </c>
      <c r="B15" s="3">
        <v>0</v>
      </c>
    </row>
    <row r="16" spans="1:19" ht="15.75" thickBot="1" x14ac:dyDescent="0.3"/>
    <row r="17" spans="1:5" x14ac:dyDescent="0.25">
      <c r="A17" s="22" t="s">
        <v>21</v>
      </c>
      <c r="B17" s="12"/>
      <c r="C17" s="12"/>
      <c r="D17" s="12"/>
      <c r="E17" s="13"/>
    </row>
    <row r="18" spans="1:5" x14ac:dyDescent="0.25">
      <c r="A18" s="729" t="s">
        <v>22</v>
      </c>
      <c r="B18" s="730"/>
      <c r="C18" s="730"/>
      <c r="D18" s="730"/>
      <c r="E18" s="731"/>
    </row>
    <row r="19" spans="1:5" ht="67.5" customHeight="1" x14ac:dyDescent="0.25">
      <c r="A19" s="14" t="s">
        <v>23</v>
      </c>
      <c r="B19" s="4" t="s">
        <v>24</v>
      </c>
      <c r="C19" s="4" t="s">
        <v>25</v>
      </c>
      <c r="D19" s="4" t="s">
        <v>26</v>
      </c>
      <c r="E19" s="31" t="s">
        <v>105</v>
      </c>
    </row>
    <row r="20" spans="1:5" x14ac:dyDescent="0.25">
      <c r="A20" s="14">
        <v>60</v>
      </c>
      <c r="B20" s="3">
        <v>95100</v>
      </c>
      <c r="C20" s="3">
        <f>A20*2455</f>
        <v>147300</v>
      </c>
      <c r="D20" s="3">
        <f>A20*3200</f>
        <v>192000</v>
      </c>
      <c r="E20" s="15">
        <f>A20*2741</f>
        <v>164460</v>
      </c>
    </row>
    <row r="21" spans="1:5" x14ac:dyDescent="0.25">
      <c r="A21" s="14">
        <v>65</v>
      </c>
      <c r="B21" s="3">
        <f>A21*1585</f>
        <v>103025</v>
      </c>
      <c r="C21" s="3">
        <f t="shared" ref="C21:C39" si="0">A21*2455</f>
        <v>159575</v>
      </c>
      <c r="D21" s="3">
        <f t="shared" ref="D21:D39" si="1">A21*3200</f>
        <v>208000</v>
      </c>
      <c r="E21" s="15">
        <f t="shared" ref="E21:E39" si="2">A21*2741</f>
        <v>178165</v>
      </c>
    </row>
    <row r="22" spans="1:5" x14ac:dyDescent="0.25">
      <c r="A22" s="14">
        <v>70</v>
      </c>
      <c r="B22" s="3">
        <f t="shared" ref="B22:B33" si="3">A22*1585</f>
        <v>110950</v>
      </c>
      <c r="C22" s="3">
        <f t="shared" si="0"/>
        <v>171850</v>
      </c>
      <c r="D22" s="3">
        <f t="shared" si="1"/>
        <v>224000</v>
      </c>
      <c r="E22" s="15">
        <f t="shared" si="2"/>
        <v>191870</v>
      </c>
    </row>
    <row r="23" spans="1:5" x14ac:dyDescent="0.25">
      <c r="A23" s="14">
        <v>75</v>
      </c>
      <c r="B23" s="3">
        <f t="shared" si="3"/>
        <v>118875</v>
      </c>
      <c r="C23" s="3">
        <f t="shared" si="0"/>
        <v>184125</v>
      </c>
      <c r="D23" s="3">
        <f t="shared" si="1"/>
        <v>240000</v>
      </c>
      <c r="E23" s="15">
        <f t="shared" si="2"/>
        <v>205575</v>
      </c>
    </row>
    <row r="24" spans="1:5" x14ac:dyDescent="0.25">
      <c r="A24" s="14">
        <v>80</v>
      </c>
      <c r="B24" s="3">
        <f t="shared" si="3"/>
        <v>126800</v>
      </c>
      <c r="C24" s="3">
        <f t="shared" si="0"/>
        <v>196400</v>
      </c>
      <c r="D24" s="3">
        <f t="shared" si="1"/>
        <v>256000</v>
      </c>
      <c r="E24" s="15">
        <f t="shared" si="2"/>
        <v>219280</v>
      </c>
    </row>
    <row r="25" spans="1:5" x14ac:dyDescent="0.25">
      <c r="A25" s="14">
        <v>85</v>
      </c>
      <c r="B25" s="3">
        <f t="shared" si="3"/>
        <v>134725</v>
      </c>
      <c r="C25" s="3">
        <f t="shared" si="0"/>
        <v>208675</v>
      </c>
      <c r="D25" s="3">
        <f t="shared" si="1"/>
        <v>272000</v>
      </c>
      <c r="E25" s="15">
        <f t="shared" si="2"/>
        <v>232985</v>
      </c>
    </row>
    <row r="26" spans="1:5" x14ac:dyDescent="0.25">
      <c r="A26" s="14">
        <v>90</v>
      </c>
      <c r="B26" s="3">
        <f t="shared" si="3"/>
        <v>142650</v>
      </c>
      <c r="C26" s="3">
        <f t="shared" si="0"/>
        <v>220950</v>
      </c>
      <c r="D26" s="3">
        <f t="shared" si="1"/>
        <v>288000</v>
      </c>
      <c r="E26" s="15">
        <f t="shared" si="2"/>
        <v>246690</v>
      </c>
    </row>
    <row r="27" spans="1:5" x14ac:dyDescent="0.25">
      <c r="A27" s="14">
        <v>95</v>
      </c>
      <c r="B27" s="3">
        <f t="shared" si="3"/>
        <v>150575</v>
      </c>
      <c r="C27" s="3">
        <f t="shared" si="0"/>
        <v>233225</v>
      </c>
      <c r="D27" s="3">
        <f t="shared" si="1"/>
        <v>304000</v>
      </c>
      <c r="E27" s="15">
        <f t="shared" si="2"/>
        <v>260395</v>
      </c>
    </row>
    <row r="28" spans="1:5" x14ac:dyDescent="0.25">
      <c r="A28" s="14">
        <v>100</v>
      </c>
      <c r="B28" s="3">
        <f t="shared" si="3"/>
        <v>158500</v>
      </c>
      <c r="C28" s="3">
        <f t="shared" si="0"/>
        <v>245500</v>
      </c>
      <c r="D28" s="3">
        <f t="shared" si="1"/>
        <v>320000</v>
      </c>
      <c r="E28" s="15">
        <f t="shared" si="2"/>
        <v>274100</v>
      </c>
    </row>
    <row r="29" spans="1:5" x14ac:dyDescent="0.25">
      <c r="A29" s="14">
        <v>120</v>
      </c>
      <c r="B29" s="3">
        <f t="shared" si="3"/>
        <v>190200</v>
      </c>
      <c r="C29" s="3">
        <f t="shared" si="0"/>
        <v>294600</v>
      </c>
      <c r="D29" s="3">
        <f t="shared" si="1"/>
        <v>384000</v>
      </c>
      <c r="E29" s="15">
        <f t="shared" si="2"/>
        <v>328920</v>
      </c>
    </row>
    <row r="30" spans="1:5" x14ac:dyDescent="0.25">
      <c r="A30" s="14">
        <v>140</v>
      </c>
      <c r="B30" s="3">
        <f t="shared" si="3"/>
        <v>221900</v>
      </c>
      <c r="C30" s="3">
        <f t="shared" si="0"/>
        <v>343700</v>
      </c>
      <c r="D30" s="3">
        <f t="shared" si="1"/>
        <v>448000</v>
      </c>
      <c r="E30" s="15">
        <f t="shared" si="2"/>
        <v>383740</v>
      </c>
    </row>
    <row r="31" spans="1:5" x14ac:dyDescent="0.25">
      <c r="A31" s="14">
        <v>160</v>
      </c>
      <c r="B31" s="3">
        <f t="shared" si="3"/>
        <v>253600</v>
      </c>
      <c r="C31" s="3">
        <f t="shared" si="0"/>
        <v>392800</v>
      </c>
      <c r="D31" s="3">
        <f t="shared" si="1"/>
        <v>512000</v>
      </c>
      <c r="E31" s="15">
        <f t="shared" si="2"/>
        <v>438560</v>
      </c>
    </row>
    <row r="32" spans="1:5" x14ac:dyDescent="0.25">
      <c r="A32" s="14">
        <v>180</v>
      </c>
      <c r="B32" s="3">
        <f t="shared" si="3"/>
        <v>285300</v>
      </c>
      <c r="C32" s="3">
        <f t="shared" si="0"/>
        <v>441900</v>
      </c>
      <c r="D32" s="3">
        <f t="shared" si="1"/>
        <v>576000</v>
      </c>
      <c r="E32" s="15">
        <f t="shared" si="2"/>
        <v>493380</v>
      </c>
    </row>
    <row r="33" spans="1:9" x14ac:dyDescent="0.25">
      <c r="A33" s="14">
        <v>200</v>
      </c>
      <c r="B33" s="3">
        <f t="shared" si="3"/>
        <v>317000</v>
      </c>
      <c r="C33" s="3">
        <f t="shared" si="0"/>
        <v>491000</v>
      </c>
      <c r="D33" s="3">
        <f t="shared" si="1"/>
        <v>640000</v>
      </c>
      <c r="E33" s="15">
        <f t="shared" si="2"/>
        <v>548200</v>
      </c>
    </row>
    <row r="34" spans="1:9" x14ac:dyDescent="0.25">
      <c r="A34" s="14">
        <v>220</v>
      </c>
      <c r="B34" s="3"/>
      <c r="C34" s="3">
        <f t="shared" si="0"/>
        <v>540100</v>
      </c>
      <c r="D34" s="3">
        <f t="shared" si="1"/>
        <v>704000</v>
      </c>
      <c r="E34" s="15">
        <f t="shared" si="2"/>
        <v>603020</v>
      </c>
    </row>
    <row r="35" spans="1:9" x14ac:dyDescent="0.25">
      <c r="A35" s="14">
        <v>240</v>
      </c>
      <c r="B35" s="3"/>
      <c r="C35" s="3">
        <f t="shared" si="0"/>
        <v>589200</v>
      </c>
      <c r="D35" s="3">
        <f t="shared" si="1"/>
        <v>768000</v>
      </c>
      <c r="E35" s="15">
        <f t="shared" si="2"/>
        <v>657840</v>
      </c>
    </row>
    <row r="36" spans="1:9" x14ac:dyDescent="0.25">
      <c r="A36" s="14">
        <v>260</v>
      </c>
      <c r="B36" s="3"/>
      <c r="C36" s="3">
        <f t="shared" si="0"/>
        <v>638300</v>
      </c>
      <c r="D36" s="3">
        <f t="shared" si="1"/>
        <v>832000</v>
      </c>
      <c r="E36" s="15">
        <f t="shared" si="2"/>
        <v>712660</v>
      </c>
    </row>
    <row r="37" spans="1:9" x14ac:dyDescent="0.25">
      <c r="A37" s="14">
        <v>280</v>
      </c>
      <c r="B37" s="3"/>
      <c r="C37" s="3">
        <f t="shared" si="0"/>
        <v>687400</v>
      </c>
      <c r="D37" s="3">
        <f t="shared" si="1"/>
        <v>896000</v>
      </c>
      <c r="E37" s="15">
        <f t="shared" si="2"/>
        <v>767480</v>
      </c>
    </row>
    <row r="38" spans="1:9" x14ac:dyDescent="0.25">
      <c r="A38" s="14">
        <v>300</v>
      </c>
      <c r="B38" s="3"/>
      <c r="C38" s="3">
        <f t="shared" si="0"/>
        <v>736500</v>
      </c>
      <c r="D38" s="3">
        <f t="shared" si="1"/>
        <v>960000</v>
      </c>
      <c r="E38" s="15">
        <f t="shared" si="2"/>
        <v>822300</v>
      </c>
    </row>
    <row r="39" spans="1:9" ht="15.75" thickBot="1" x14ac:dyDescent="0.3">
      <c r="A39" s="14">
        <v>320</v>
      </c>
      <c r="B39" s="3"/>
      <c r="C39" s="3">
        <f t="shared" si="0"/>
        <v>785600</v>
      </c>
      <c r="D39" s="3">
        <f t="shared" si="1"/>
        <v>1024000</v>
      </c>
      <c r="E39" s="15">
        <f t="shared" si="2"/>
        <v>877120</v>
      </c>
    </row>
    <row r="40" spans="1:9" x14ac:dyDescent="0.25">
      <c r="A40" s="16"/>
      <c r="E40" s="35"/>
      <c r="F40" s="22" t="s">
        <v>36</v>
      </c>
      <c r="G40" s="12"/>
      <c r="H40" s="12"/>
      <c r="I40" s="13"/>
    </row>
    <row r="41" spans="1:9" x14ac:dyDescent="0.25">
      <c r="A41" s="777" t="s">
        <v>27</v>
      </c>
      <c r="B41" s="778"/>
      <c r="C41" s="778"/>
      <c r="D41" s="797"/>
      <c r="E41" s="36"/>
      <c r="F41" s="777" t="s">
        <v>27</v>
      </c>
      <c r="G41" s="778"/>
      <c r="H41" s="778"/>
      <c r="I41" s="779"/>
    </row>
    <row r="42" spans="1:9" ht="30" x14ac:dyDescent="0.25">
      <c r="A42" s="14" t="s">
        <v>23</v>
      </c>
      <c r="B42" s="4" t="s">
        <v>28</v>
      </c>
      <c r="C42" s="3" t="s">
        <v>15</v>
      </c>
      <c r="D42" s="32" t="s">
        <v>29</v>
      </c>
      <c r="E42" s="36"/>
      <c r="F42" s="14" t="s">
        <v>23</v>
      </c>
      <c r="G42" s="4" t="s">
        <v>28</v>
      </c>
      <c r="H42" s="3" t="s">
        <v>15</v>
      </c>
      <c r="I42" s="15" t="s">
        <v>29</v>
      </c>
    </row>
    <row r="43" spans="1:9" x14ac:dyDescent="0.25">
      <c r="A43" s="17">
        <v>20</v>
      </c>
      <c r="B43" s="9">
        <v>25</v>
      </c>
      <c r="C43" s="3">
        <v>3324</v>
      </c>
      <c r="D43" s="32">
        <f>A43*C43</f>
        <v>66480</v>
      </c>
      <c r="E43" s="36"/>
      <c r="F43" s="17">
        <v>20</v>
      </c>
      <c r="G43" s="9">
        <v>25</v>
      </c>
      <c r="H43" s="21">
        <v>-330</v>
      </c>
      <c r="I43" s="15">
        <f>F43*H43</f>
        <v>-6600</v>
      </c>
    </row>
    <row r="44" spans="1:9" x14ac:dyDescent="0.25">
      <c r="A44" s="17">
        <v>40</v>
      </c>
      <c r="B44" s="9">
        <v>50</v>
      </c>
      <c r="C44" s="3">
        <v>3327</v>
      </c>
      <c r="D44" s="32">
        <f t="shared" ref="D44:D66" si="4">A44*C44</f>
        <v>133080</v>
      </c>
      <c r="E44" s="36"/>
      <c r="F44" s="17">
        <v>40</v>
      </c>
      <c r="G44" s="9">
        <v>50</v>
      </c>
      <c r="H44" s="21">
        <v>-330</v>
      </c>
      <c r="I44" s="15">
        <f t="shared" ref="I44:I66" si="5">F44*H44</f>
        <v>-13200</v>
      </c>
    </row>
    <row r="45" spans="1:9" x14ac:dyDescent="0.25">
      <c r="A45" s="17">
        <v>60</v>
      </c>
      <c r="B45" s="9">
        <v>75</v>
      </c>
      <c r="C45" s="3">
        <v>3329</v>
      </c>
      <c r="D45" s="32">
        <f t="shared" si="4"/>
        <v>199740</v>
      </c>
      <c r="E45" s="36"/>
      <c r="F45" s="17">
        <v>60</v>
      </c>
      <c r="G45" s="9">
        <v>75</v>
      </c>
      <c r="H45" s="21">
        <v>-330</v>
      </c>
      <c r="I45" s="15">
        <f t="shared" si="5"/>
        <v>-19800</v>
      </c>
    </row>
    <row r="46" spans="1:9" x14ac:dyDescent="0.25">
      <c r="A46" s="17">
        <v>80</v>
      </c>
      <c r="B46" s="9">
        <v>100</v>
      </c>
      <c r="C46" s="3">
        <v>3331</v>
      </c>
      <c r="D46" s="32">
        <f t="shared" si="4"/>
        <v>266480</v>
      </c>
      <c r="E46" s="36"/>
      <c r="F46" s="17">
        <v>80</v>
      </c>
      <c r="G46" s="9">
        <v>100</v>
      </c>
      <c r="H46" s="21">
        <v>-330</v>
      </c>
      <c r="I46" s="15">
        <f t="shared" si="5"/>
        <v>-26400</v>
      </c>
    </row>
    <row r="47" spans="1:9" x14ac:dyDescent="0.25">
      <c r="A47" s="17">
        <v>100</v>
      </c>
      <c r="B47" s="9">
        <v>125</v>
      </c>
      <c r="C47" s="3">
        <v>3399</v>
      </c>
      <c r="D47" s="32">
        <f t="shared" si="4"/>
        <v>339900</v>
      </c>
      <c r="E47" s="36"/>
      <c r="F47" s="17">
        <v>100</v>
      </c>
      <c r="G47" s="9">
        <v>125</v>
      </c>
      <c r="H47" s="21">
        <v>-330</v>
      </c>
      <c r="I47" s="15">
        <f t="shared" si="5"/>
        <v>-33000</v>
      </c>
    </row>
    <row r="48" spans="1:9" x14ac:dyDescent="0.25">
      <c r="A48" s="17">
        <v>120</v>
      </c>
      <c r="B48" s="9">
        <v>150</v>
      </c>
      <c r="C48" s="3">
        <v>3461</v>
      </c>
      <c r="D48" s="32">
        <f t="shared" si="4"/>
        <v>415320</v>
      </c>
      <c r="E48" s="36"/>
      <c r="F48" s="17">
        <v>120</v>
      </c>
      <c r="G48" s="9">
        <v>150</v>
      </c>
      <c r="H48" s="21">
        <v>-330</v>
      </c>
      <c r="I48" s="15">
        <f t="shared" si="5"/>
        <v>-39600</v>
      </c>
    </row>
    <row r="49" spans="1:9" x14ac:dyDescent="0.25">
      <c r="A49" s="17">
        <v>140</v>
      </c>
      <c r="B49" s="9">
        <v>175</v>
      </c>
      <c r="C49" s="3">
        <v>3505</v>
      </c>
      <c r="D49" s="32">
        <f t="shared" si="4"/>
        <v>490700</v>
      </c>
      <c r="E49" s="36"/>
      <c r="F49" s="17">
        <v>140</v>
      </c>
      <c r="G49" s="9">
        <v>175</v>
      </c>
      <c r="H49" s="21">
        <v>-236</v>
      </c>
      <c r="I49" s="15">
        <f t="shared" si="5"/>
        <v>-33040</v>
      </c>
    </row>
    <row r="50" spans="1:9" x14ac:dyDescent="0.25">
      <c r="A50" s="17">
        <v>160</v>
      </c>
      <c r="B50" s="9">
        <v>200</v>
      </c>
      <c r="C50" s="3">
        <v>3539</v>
      </c>
      <c r="D50" s="32">
        <f t="shared" si="4"/>
        <v>566240</v>
      </c>
      <c r="E50" s="36"/>
      <c r="F50" s="17">
        <v>160</v>
      </c>
      <c r="G50" s="9">
        <v>200</v>
      </c>
      <c r="H50" s="21">
        <v>-165</v>
      </c>
      <c r="I50" s="15">
        <f t="shared" si="5"/>
        <v>-26400</v>
      </c>
    </row>
    <row r="51" spans="1:9" x14ac:dyDescent="0.25">
      <c r="A51" s="17">
        <v>180</v>
      </c>
      <c r="B51" s="9">
        <v>225</v>
      </c>
      <c r="C51" s="3">
        <v>3543</v>
      </c>
      <c r="D51" s="32">
        <f t="shared" si="4"/>
        <v>637740</v>
      </c>
      <c r="E51" s="36"/>
      <c r="F51" s="17">
        <v>180</v>
      </c>
      <c r="G51" s="9">
        <v>225</v>
      </c>
      <c r="H51" s="21">
        <v>-110</v>
      </c>
      <c r="I51" s="15">
        <f t="shared" si="5"/>
        <v>-19800</v>
      </c>
    </row>
    <row r="52" spans="1:9" x14ac:dyDescent="0.25">
      <c r="A52" s="17">
        <v>200</v>
      </c>
      <c r="B52" s="9">
        <v>250</v>
      </c>
      <c r="C52" s="3">
        <v>3551</v>
      </c>
      <c r="D52" s="32">
        <f t="shared" si="4"/>
        <v>710200</v>
      </c>
      <c r="E52" s="36"/>
      <c r="F52" s="17">
        <v>200</v>
      </c>
      <c r="G52" s="9">
        <v>250</v>
      </c>
      <c r="H52" s="21">
        <v>-66</v>
      </c>
      <c r="I52" s="15">
        <f t="shared" si="5"/>
        <v>-13200</v>
      </c>
    </row>
    <row r="53" spans="1:9" x14ac:dyDescent="0.25">
      <c r="A53" s="17">
        <v>220</v>
      </c>
      <c r="B53" s="9">
        <v>275</v>
      </c>
      <c r="C53" s="3">
        <v>3571</v>
      </c>
      <c r="D53" s="32">
        <f t="shared" si="4"/>
        <v>785620</v>
      </c>
      <c r="E53" s="36"/>
      <c r="F53" s="17">
        <v>220</v>
      </c>
      <c r="G53" s="9">
        <v>275</v>
      </c>
      <c r="H53" s="21">
        <v>-30</v>
      </c>
      <c r="I53" s="15">
        <f t="shared" si="5"/>
        <v>-6600</v>
      </c>
    </row>
    <row r="54" spans="1:9" x14ac:dyDescent="0.25">
      <c r="A54" s="17">
        <v>240</v>
      </c>
      <c r="B54" s="9">
        <v>300</v>
      </c>
      <c r="C54" s="3">
        <v>3614</v>
      </c>
      <c r="D54" s="32">
        <f t="shared" si="4"/>
        <v>867360</v>
      </c>
      <c r="E54" s="36"/>
      <c r="F54" s="17">
        <v>240</v>
      </c>
      <c r="G54" s="9">
        <v>300</v>
      </c>
      <c r="H54" s="21">
        <v>0</v>
      </c>
      <c r="I54" s="15">
        <f t="shared" si="5"/>
        <v>0</v>
      </c>
    </row>
    <row r="55" spans="1:9" x14ac:dyDescent="0.25">
      <c r="A55" s="17">
        <v>260</v>
      </c>
      <c r="B55" s="9">
        <v>325</v>
      </c>
      <c r="C55" s="3">
        <v>3662</v>
      </c>
      <c r="D55" s="32">
        <f t="shared" si="4"/>
        <v>952120</v>
      </c>
      <c r="E55" s="36"/>
      <c r="F55" s="17">
        <v>260</v>
      </c>
      <c r="G55" s="9">
        <v>325</v>
      </c>
      <c r="H55" s="21">
        <v>0</v>
      </c>
      <c r="I55" s="15">
        <f t="shared" si="5"/>
        <v>0</v>
      </c>
    </row>
    <row r="56" spans="1:9" x14ac:dyDescent="0.25">
      <c r="A56" s="17">
        <v>280</v>
      </c>
      <c r="B56" s="9">
        <v>350</v>
      </c>
      <c r="C56" s="3">
        <v>3703</v>
      </c>
      <c r="D56" s="32">
        <f t="shared" si="4"/>
        <v>1036840</v>
      </c>
      <c r="E56" s="36"/>
      <c r="F56" s="17">
        <v>280</v>
      </c>
      <c r="G56" s="9">
        <v>350</v>
      </c>
      <c r="H56" s="21">
        <v>0</v>
      </c>
      <c r="I56" s="15">
        <f t="shared" si="5"/>
        <v>0</v>
      </c>
    </row>
    <row r="57" spans="1:9" x14ac:dyDescent="0.25">
      <c r="A57" s="17">
        <v>300</v>
      </c>
      <c r="B57" s="9">
        <v>375</v>
      </c>
      <c r="C57" s="3">
        <v>3739</v>
      </c>
      <c r="D57" s="32">
        <f t="shared" si="4"/>
        <v>1121700</v>
      </c>
      <c r="E57" s="36"/>
      <c r="F57" s="17">
        <v>300</v>
      </c>
      <c r="G57" s="9">
        <v>375</v>
      </c>
      <c r="H57" s="21">
        <v>0</v>
      </c>
      <c r="I57" s="15">
        <f t="shared" si="5"/>
        <v>0</v>
      </c>
    </row>
    <row r="58" spans="1:9" x14ac:dyDescent="0.25">
      <c r="A58" s="17">
        <v>320</v>
      </c>
      <c r="B58" s="9">
        <v>400</v>
      </c>
      <c r="C58" s="3">
        <v>3770</v>
      </c>
      <c r="D58" s="32">
        <f t="shared" si="4"/>
        <v>1206400</v>
      </c>
      <c r="E58" s="36"/>
      <c r="F58" s="17">
        <v>320</v>
      </c>
      <c r="G58" s="9">
        <v>400</v>
      </c>
      <c r="H58" s="21">
        <v>0</v>
      </c>
      <c r="I58" s="15">
        <f t="shared" si="5"/>
        <v>0</v>
      </c>
    </row>
    <row r="59" spans="1:9" x14ac:dyDescent="0.25">
      <c r="A59" s="17">
        <v>340</v>
      </c>
      <c r="B59" s="9">
        <v>425</v>
      </c>
      <c r="C59" s="3">
        <v>3797</v>
      </c>
      <c r="D59" s="32">
        <f t="shared" si="4"/>
        <v>1290980</v>
      </c>
      <c r="E59" s="36"/>
      <c r="F59" s="17">
        <v>340</v>
      </c>
      <c r="G59" s="9">
        <v>425</v>
      </c>
      <c r="H59" s="21">
        <v>0</v>
      </c>
      <c r="I59" s="15">
        <f t="shared" si="5"/>
        <v>0</v>
      </c>
    </row>
    <row r="60" spans="1:9" x14ac:dyDescent="0.25">
      <c r="A60" s="17">
        <v>360</v>
      </c>
      <c r="B60" s="9">
        <v>450</v>
      </c>
      <c r="C60" s="3">
        <v>3821</v>
      </c>
      <c r="D60" s="32">
        <f t="shared" si="4"/>
        <v>1375560</v>
      </c>
      <c r="E60" s="36"/>
      <c r="F60" s="17">
        <v>360</v>
      </c>
      <c r="G60" s="9">
        <v>450</v>
      </c>
      <c r="H60" s="21">
        <v>0</v>
      </c>
      <c r="I60" s="15">
        <f t="shared" si="5"/>
        <v>0</v>
      </c>
    </row>
    <row r="61" spans="1:9" x14ac:dyDescent="0.25">
      <c r="A61" s="17">
        <v>380</v>
      </c>
      <c r="B61" s="9">
        <v>475</v>
      </c>
      <c r="C61" s="3">
        <v>3843</v>
      </c>
      <c r="D61" s="32">
        <f t="shared" si="4"/>
        <v>1460340</v>
      </c>
      <c r="E61" s="36"/>
      <c r="F61" s="17">
        <v>380</v>
      </c>
      <c r="G61" s="9">
        <v>475</v>
      </c>
      <c r="H61" s="21">
        <v>0</v>
      </c>
      <c r="I61" s="15">
        <f t="shared" si="5"/>
        <v>0</v>
      </c>
    </row>
    <row r="62" spans="1:9" x14ac:dyDescent="0.25">
      <c r="A62" s="17">
        <v>400</v>
      </c>
      <c r="B62" s="9">
        <v>500</v>
      </c>
      <c r="C62" s="3">
        <v>3863</v>
      </c>
      <c r="D62" s="32">
        <f t="shared" si="4"/>
        <v>1545200</v>
      </c>
      <c r="E62" s="36"/>
      <c r="F62" s="17">
        <v>400</v>
      </c>
      <c r="G62" s="9">
        <v>500</v>
      </c>
      <c r="H62" s="21">
        <v>0</v>
      </c>
      <c r="I62" s="15">
        <f t="shared" si="5"/>
        <v>0</v>
      </c>
    </row>
    <row r="63" spans="1:9" x14ac:dyDescent="0.25">
      <c r="A63" s="17">
        <v>420</v>
      </c>
      <c r="B63" s="9">
        <v>525</v>
      </c>
      <c r="C63" s="3">
        <v>3880</v>
      </c>
      <c r="D63" s="32">
        <f t="shared" si="4"/>
        <v>1629600</v>
      </c>
      <c r="E63" s="36"/>
      <c r="F63" s="17">
        <v>420</v>
      </c>
      <c r="G63" s="9">
        <v>525</v>
      </c>
      <c r="H63" s="21">
        <v>0</v>
      </c>
      <c r="I63" s="15">
        <f t="shared" si="5"/>
        <v>0</v>
      </c>
    </row>
    <row r="64" spans="1:9" x14ac:dyDescent="0.25">
      <c r="A64" s="17">
        <v>440</v>
      </c>
      <c r="B64" s="9">
        <v>550</v>
      </c>
      <c r="C64" s="3">
        <v>3897</v>
      </c>
      <c r="D64" s="32">
        <f t="shared" si="4"/>
        <v>1714680</v>
      </c>
      <c r="E64" s="36"/>
      <c r="F64" s="17">
        <v>440</v>
      </c>
      <c r="G64" s="9">
        <v>550</v>
      </c>
      <c r="H64" s="21">
        <v>0</v>
      </c>
      <c r="I64" s="15">
        <f t="shared" si="5"/>
        <v>0</v>
      </c>
    </row>
    <row r="65" spans="1:9" x14ac:dyDescent="0.25">
      <c r="A65" s="17">
        <v>460</v>
      </c>
      <c r="B65" s="9">
        <v>575</v>
      </c>
      <c r="C65" s="3">
        <v>3911</v>
      </c>
      <c r="D65" s="32">
        <f t="shared" si="4"/>
        <v>1799060</v>
      </c>
      <c r="E65" s="36"/>
      <c r="F65" s="17">
        <v>460</v>
      </c>
      <c r="G65" s="9">
        <v>575</v>
      </c>
      <c r="H65" s="21">
        <v>0</v>
      </c>
      <c r="I65" s="15">
        <f t="shared" si="5"/>
        <v>0</v>
      </c>
    </row>
    <row r="66" spans="1:9" ht="15.75" thickBot="1" x14ac:dyDescent="0.3">
      <c r="A66" s="17">
        <v>476</v>
      </c>
      <c r="B66" s="9">
        <v>595</v>
      </c>
      <c r="C66" s="3">
        <v>3912</v>
      </c>
      <c r="D66" s="32">
        <f t="shared" si="4"/>
        <v>1862112</v>
      </c>
      <c r="E66" s="36"/>
      <c r="F66" s="24">
        <v>476</v>
      </c>
      <c r="G66" s="25">
        <v>595</v>
      </c>
      <c r="H66" s="26">
        <v>0</v>
      </c>
      <c r="I66" s="27">
        <f t="shared" si="5"/>
        <v>0</v>
      </c>
    </row>
    <row r="67" spans="1:9" x14ac:dyDescent="0.25">
      <c r="A67" s="16"/>
      <c r="E67" s="36"/>
    </row>
    <row r="68" spans="1:9" x14ac:dyDescent="0.25">
      <c r="A68" s="777" t="s">
        <v>30</v>
      </c>
      <c r="B68" s="778"/>
      <c r="C68" s="778"/>
      <c r="D68" s="797"/>
      <c r="E68" s="36"/>
    </row>
    <row r="69" spans="1:9" ht="30" x14ac:dyDescent="0.25">
      <c r="A69" s="18" t="s">
        <v>23</v>
      </c>
      <c r="B69" s="11" t="s">
        <v>31</v>
      </c>
      <c r="C69" s="10" t="s">
        <v>15</v>
      </c>
      <c r="D69" s="33" t="s">
        <v>29</v>
      </c>
      <c r="E69" s="36"/>
    </row>
    <row r="70" spans="1:9" x14ac:dyDescent="0.25">
      <c r="A70" s="14">
        <v>8</v>
      </c>
      <c r="B70" s="3">
        <v>10</v>
      </c>
      <c r="C70" s="3">
        <v>3320</v>
      </c>
      <c r="D70" s="32">
        <v>26560</v>
      </c>
      <c r="E70" s="36"/>
    </row>
    <row r="71" spans="1:9" x14ac:dyDescent="0.25">
      <c r="A71" s="16"/>
      <c r="E71" s="36"/>
    </row>
    <row r="72" spans="1:9" x14ac:dyDescent="0.25">
      <c r="A72" s="777" t="s">
        <v>32</v>
      </c>
      <c r="B72" s="778"/>
      <c r="C72" s="778"/>
      <c r="E72" s="36"/>
    </row>
    <row r="73" spans="1:9" x14ac:dyDescent="0.25">
      <c r="A73" s="14" t="s">
        <v>23</v>
      </c>
      <c r="B73" s="3" t="s">
        <v>33</v>
      </c>
      <c r="C73" s="3" t="s">
        <v>29</v>
      </c>
      <c r="E73" s="36"/>
    </row>
    <row r="74" spans="1:9" x14ac:dyDescent="0.25">
      <c r="A74" s="14">
        <v>10.199999999999999</v>
      </c>
      <c r="B74" s="3">
        <v>10.45</v>
      </c>
      <c r="C74" s="3">
        <v>47665</v>
      </c>
      <c r="E74" s="36"/>
    </row>
    <row r="75" spans="1:9" x14ac:dyDescent="0.25">
      <c r="A75" s="16"/>
      <c r="E75" s="36"/>
    </row>
    <row r="76" spans="1:9" x14ac:dyDescent="0.25">
      <c r="A76" s="777" t="s">
        <v>34</v>
      </c>
      <c r="B76" s="778"/>
      <c r="C76" s="778"/>
      <c r="E76" s="36"/>
    </row>
    <row r="77" spans="1:9" x14ac:dyDescent="0.25">
      <c r="A77" s="14" t="s">
        <v>23</v>
      </c>
      <c r="B77" s="3" t="s">
        <v>33</v>
      </c>
      <c r="C77" s="3" t="s">
        <v>29</v>
      </c>
      <c r="E77" s="36"/>
    </row>
    <row r="78" spans="1:9" x14ac:dyDescent="0.25">
      <c r="A78" s="14">
        <v>1.6</v>
      </c>
      <c r="B78" s="3">
        <v>1.64</v>
      </c>
      <c r="C78" s="3">
        <v>7477</v>
      </c>
      <c r="E78" s="36"/>
    </row>
    <row r="79" spans="1:9" x14ac:dyDescent="0.25">
      <c r="A79" s="16"/>
      <c r="E79" s="36"/>
    </row>
    <row r="80" spans="1:9" x14ac:dyDescent="0.25">
      <c r="A80" s="777" t="s">
        <v>35</v>
      </c>
      <c r="B80" s="778"/>
      <c r="C80" s="778"/>
      <c r="E80" s="36"/>
    </row>
    <row r="81" spans="1:6" x14ac:dyDescent="0.25">
      <c r="A81" s="14" t="s">
        <v>23</v>
      </c>
      <c r="B81" s="3" t="s">
        <v>33</v>
      </c>
      <c r="C81" s="3" t="s">
        <v>29</v>
      </c>
      <c r="E81" s="36"/>
    </row>
    <row r="82" spans="1:6" ht="15.75" thickBot="1" x14ac:dyDescent="0.3">
      <c r="A82" s="19">
        <v>10</v>
      </c>
      <c r="B82" s="20">
        <v>10.3</v>
      </c>
      <c r="C82" s="20">
        <v>33550</v>
      </c>
      <c r="D82" s="34"/>
      <c r="E82" s="37"/>
    </row>
    <row r="84" spans="1:6" x14ac:dyDescent="0.25">
      <c r="A84" s="778" t="s">
        <v>37</v>
      </c>
      <c r="B84" s="778"/>
      <c r="C84" s="778"/>
      <c r="D84" s="778"/>
      <c r="E84" s="778"/>
      <c r="F84" s="778"/>
    </row>
    <row r="85" spans="1:6" x14ac:dyDescent="0.25">
      <c r="A85" s="3"/>
      <c r="B85" s="3" t="s">
        <v>38</v>
      </c>
      <c r="C85" s="3" t="s">
        <v>39</v>
      </c>
      <c r="D85" s="3" t="s">
        <v>40</v>
      </c>
      <c r="E85" s="3" t="s">
        <v>41</v>
      </c>
      <c r="F85" s="3" t="s">
        <v>42</v>
      </c>
    </row>
    <row r="86" spans="1:6" ht="26.25" customHeight="1" x14ac:dyDescent="0.25">
      <c r="A86" s="4" t="s">
        <v>43</v>
      </c>
      <c r="B86" s="778" t="s">
        <v>44</v>
      </c>
      <c r="C86" s="778"/>
      <c r="D86" s="778"/>
      <c r="E86" s="778"/>
      <c r="F86" s="778"/>
    </row>
    <row r="87" spans="1:6" x14ac:dyDescent="0.25">
      <c r="A87" s="3">
        <v>10</v>
      </c>
      <c r="B87" s="3">
        <f>A87*4880</f>
        <v>48800</v>
      </c>
      <c r="C87" s="3">
        <f>A87*5240</f>
        <v>52400</v>
      </c>
      <c r="D87" s="3">
        <f>A87*5560</f>
        <v>55600</v>
      </c>
      <c r="E87" s="3">
        <f>A87*5960</f>
        <v>59600</v>
      </c>
      <c r="F87" s="3">
        <f>A87*6430</f>
        <v>64300</v>
      </c>
    </row>
    <row r="88" spans="1:6" x14ac:dyDescent="0.25">
      <c r="A88" s="3">
        <v>20</v>
      </c>
      <c r="B88" s="3">
        <f t="shared" ref="B88:B107" si="6">A88*4880</f>
        <v>97600</v>
      </c>
      <c r="C88" s="3">
        <f t="shared" ref="C88:C106" si="7">A88*5240</f>
        <v>104800</v>
      </c>
      <c r="D88" s="3">
        <f t="shared" ref="D88:D104" si="8">A88*5560</f>
        <v>111200</v>
      </c>
      <c r="E88" s="3">
        <f t="shared" ref="E88:E102" si="9">A88*5960</f>
        <v>119200</v>
      </c>
      <c r="F88" s="3">
        <f t="shared" ref="F88:F98" si="10">A88*6430</f>
        <v>128600</v>
      </c>
    </row>
    <row r="89" spans="1:6" x14ac:dyDescent="0.25">
      <c r="A89" s="3">
        <v>30</v>
      </c>
      <c r="B89" s="3">
        <f t="shared" si="6"/>
        <v>146400</v>
      </c>
      <c r="C89" s="3">
        <f t="shared" si="7"/>
        <v>157200</v>
      </c>
      <c r="D89" s="3">
        <f t="shared" si="8"/>
        <v>166800</v>
      </c>
      <c r="E89" s="3">
        <f t="shared" si="9"/>
        <v>178800</v>
      </c>
      <c r="F89" s="3">
        <f t="shared" si="10"/>
        <v>192900</v>
      </c>
    </row>
    <row r="90" spans="1:6" x14ac:dyDescent="0.25">
      <c r="A90" s="3">
        <v>40</v>
      </c>
      <c r="B90" s="3">
        <f t="shared" si="6"/>
        <v>195200</v>
      </c>
      <c r="C90" s="3">
        <f t="shared" si="7"/>
        <v>209600</v>
      </c>
      <c r="D90" s="3">
        <f t="shared" si="8"/>
        <v>222400</v>
      </c>
      <c r="E90" s="3">
        <f t="shared" si="9"/>
        <v>238400</v>
      </c>
      <c r="F90" s="3">
        <f t="shared" si="10"/>
        <v>257200</v>
      </c>
    </row>
    <row r="91" spans="1:6" x14ac:dyDescent="0.25">
      <c r="A91" s="3">
        <v>50</v>
      </c>
      <c r="B91" s="3">
        <f t="shared" si="6"/>
        <v>244000</v>
      </c>
      <c r="C91" s="3">
        <f t="shared" si="7"/>
        <v>262000</v>
      </c>
      <c r="D91" s="3">
        <f t="shared" si="8"/>
        <v>278000</v>
      </c>
      <c r="E91" s="3">
        <f t="shared" si="9"/>
        <v>298000</v>
      </c>
      <c r="F91" s="3">
        <f t="shared" si="10"/>
        <v>321500</v>
      </c>
    </row>
    <row r="92" spans="1:6" x14ac:dyDescent="0.25">
      <c r="A92" s="3">
        <v>60</v>
      </c>
      <c r="B92" s="3">
        <f t="shared" si="6"/>
        <v>292800</v>
      </c>
      <c r="C92" s="3">
        <f t="shared" si="7"/>
        <v>314400</v>
      </c>
      <c r="D92" s="3">
        <f t="shared" si="8"/>
        <v>333600</v>
      </c>
      <c r="E92" s="3">
        <f t="shared" si="9"/>
        <v>357600</v>
      </c>
      <c r="F92" s="3">
        <f t="shared" si="10"/>
        <v>385800</v>
      </c>
    </row>
    <row r="93" spans="1:6" x14ac:dyDescent="0.25">
      <c r="A93" s="3">
        <v>70</v>
      </c>
      <c r="B93" s="3">
        <f t="shared" si="6"/>
        <v>341600</v>
      </c>
      <c r="C93" s="3">
        <f t="shared" si="7"/>
        <v>366800</v>
      </c>
      <c r="D93" s="3">
        <f t="shared" si="8"/>
        <v>389200</v>
      </c>
      <c r="E93" s="3">
        <f t="shared" si="9"/>
        <v>417200</v>
      </c>
      <c r="F93" s="3">
        <f t="shared" si="10"/>
        <v>450100</v>
      </c>
    </row>
    <row r="94" spans="1:6" x14ac:dyDescent="0.25">
      <c r="A94" s="3">
        <v>80</v>
      </c>
      <c r="B94" s="3">
        <f t="shared" si="6"/>
        <v>390400</v>
      </c>
      <c r="C94" s="3">
        <f t="shared" si="7"/>
        <v>419200</v>
      </c>
      <c r="D94" s="3">
        <f t="shared" si="8"/>
        <v>444800</v>
      </c>
      <c r="E94" s="3">
        <f t="shared" si="9"/>
        <v>476800</v>
      </c>
      <c r="F94" s="3">
        <f t="shared" si="10"/>
        <v>514400</v>
      </c>
    </row>
    <row r="95" spans="1:6" x14ac:dyDescent="0.25">
      <c r="A95" s="3">
        <v>90</v>
      </c>
      <c r="B95" s="3">
        <f t="shared" si="6"/>
        <v>439200</v>
      </c>
      <c r="C95" s="3">
        <f t="shared" si="7"/>
        <v>471600</v>
      </c>
      <c r="D95" s="3">
        <f t="shared" si="8"/>
        <v>500400</v>
      </c>
      <c r="E95" s="3">
        <f t="shared" si="9"/>
        <v>536400</v>
      </c>
      <c r="F95" s="3">
        <f t="shared" si="10"/>
        <v>578700</v>
      </c>
    </row>
    <row r="96" spans="1:6" x14ac:dyDescent="0.25">
      <c r="A96" s="3">
        <v>100</v>
      </c>
      <c r="B96" s="3">
        <f t="shared" si="6"/>
        <v>488000</v>
      </c>
      <c r="C96" s="3">
        <f t="shared" si="7"/>
        <v>524000</v>
      </c>
      <c r="D96" s="3">
        <f t="shared" si="8"/>
        <v>556000</v>
      </c>
      <c r="E96" s="3">
        <f t="shared" si="9"/>
        <v>596000</v>
      </c>
      <c r="F96" s="3">
        <f t="shared" si="10"/>
        <v>643000</v>
      </c>
    </row>
    <row r="97" spans="1:6" x14ac:dyDescent="0.25">
      <c r="A97" s="3">
        <v>105</v>
      </c>
      <c r="B97" s="3">
        <f t="shared" si="6"/>
        <v>512400</v>
      </c>
      <c r="C97" s="3">
        <f t="shared" si="7"/>
        <v>550200</v>
      </c>
      <c r="D97" s="3">
        <f t="shared" si="8"/>
        <v>583800</v>
      </c>
      <c r="E97" s="3">
        <f t="shared" si="9"/>
        <v>625800</v>
      </c>
      <c r="F97" s="3">
        <f t="shared" si="10"/>
        <v>675150</v>
      </c>
    </row>
    <row r="98" spans="1:6" x14ac:dyDescent="0.25">
      <c r="A98" s="3">
        <v>108</v>
      </c>
      <c r="B98" s="3">
        <f t="shared" si="6"/>
        <v>527040</v>
      </c>
      <c r="C98" s="3">
        <f t="shared" si="7"/>
        <v>565920</v>
      </c>
      <c r="D98" s="3">
        <f t="shared" si="8"/>
        <v>600480</v>
      </c>
      <c r="E98" s="3">
        <f t="shared" si="9"/>
        <v>643680</v>
      </c>
      <c r="F98" s="3">
        <f t="shared" si="10"/>
        <v>694440</v>
      </c>
    </row>
    <row r="99" spans="1:6" x14ac:dyDescent="0.25">
      <c r="A99" s="3">
        <v>110</v>
      </c>
      <c r="B99" s="3">
        <f t="shared" si="6"/>
        <v>536800</v>
      </c>
      <c r="C99" s="3">
        <f t="shared" si="7"/>
        <v>576400</v>
      </c>
      <c r="D99" s="3">
        <f t="shared" si="8"/>
        <v>611600</v>
      </c>
      <c r="E99" s="3">
        <f t="shared" si="9"/>
        <v>655600</v>
      </c>
      <c r="F99" s="794"/>
    </row>
    <row r="100" spans="1:6" x14ac:dyDescent="0.25">
      <c r="A100" s="3">
        <v>115</v>
      </c>
      <c r="B100" s="3">
        <f t="shared" si="6"/>
        <v>561200</v>
      </c>
      <c r="C100" s="3">
        <f t="shared" si="7"/>
        <v>602600</v>
      </c>
      <c r="D100" s="3">
        <f t="shared" si="8"/>
        <v>639400</v>
      </c>
      <c r="E100" s="3">
        <f t="shared" si="9"/>
        <v>685400</v>
      </c>
      <c r="F100" s="795"/>
    </row>
    <row r="101" spans="1:6" x14ac:dyDescent="0.25">
      <c r="A101" s="3">
        <v>120</v>
      </c>
      <c r="B101" s="3">
        <f t="shared" si="6"/>
        <v>585600</v>
      </c>
      <c r="C101" s="3">
        <f t="shared" si="7"/>
        <v>628800</v>
      </c>
      <c r="D101" s="3">
        <f t="shared" si="8"/>
        <v>667200</v>
      </c>
      <c r="E101" s="3">
        <f t="shared" si="9"/>
        <v>715200</v>
      </c>
      <c r="F101" s="795"/>
    </row>
    <row r="102" spans="1:6" x14ac:dyDescent="0.25">
      <c r="A102" s="3">
        <v>123</v>
      </c>
      <c r="B102" s="3">
        <f t="shared" si="6"/>
        <v>600240</v>
      </c>
      <c r="C102" s="3">
        <f t="shared" si="7"/>
        <v>644520</v>
      </c>
      <c r="D102" s="3">
        <f t="shared" si="8"/>
        <v>683880</v>
      </c>
      <c r="E102" s="3">
        <f t="shared" si="9"/>
        <v>733080</v>
      </c>
      <c r="F102" s="795"/>
    </row>
    <row r="103" spans="1:6" x14ac:dyDescent="0.25">
      <c r="A103" s="3">
        <v>130</v>
      </c>
      <c r="B103" s="3">
        <f t="shared" si="6"/>
        <v>634400</v>
      </c>
      <c r="C103" s="3">
        <f t="shared" si="7"/>
        <v>681200</v>
      </c>
      <c r="D103" s="3">
        <f t="shared" si="8"/>
        <v>722800</v>
      </c>
      <c r="E103" s="794"/>
      <c r="F103" s="795"/>
    </row>
    <row r="104" spans="1:6" x14ac:dyDescent="0.25">
      <c r="A104" s="3">
        <v>132</v>
      </c>
      <c r="B104" s="3">
        <f t="shared" si="6"/>
        <v>644160</v>
      </c>
      <c r="C104" s="3">
        <f t="shared" si="7"/>
        <v>691680</v>
      </c>
      <c r="D104" s="3">
        <f t="shared" si="8"/>
        <v>733920</v>
      </c>
      <c r="E104" s="795"/>
      <c r="F104" s="795"/>
    </row>
    <row r="105" spans="1:6" x14ac:dyDescent="0.25">
      <c r="A105" s="3">
        <v>135</v>
      </c>
      <c r="B105" s="3">
        <f t="shared" si="6"/>
        <v>658800</v>
      </c>
      <c r="C105" s="3">
        <f t="shared" si="7"/>
        <v>707400</v>
      </c>
      <c r="D105" s="794"/>
      <c r="E105" s="795"/>
      <c r="F105" s="795"/>
    </row>
    <row r="106" spans="1:6" x14ac:dyDescent="0.25">
      <c r="A106" s="3">
        <v>140</v>
      </c>
      <c r="B106" s="3">
        <f t="shared" si="6"/>
        <v>683200</v>
      </c>
      <c r="C106" s="3">
        <f t="shared" si="7"/>
        <v>733600</v>
      </c>
      <c r="D106" s="795"/>
      <c r="E106" s="795"/>
      <c r="F106" s="795"/>
    </row>
    <row r="107" spans="1:6" x14ac:dyDescent="0.25">
      <c r="A107" s="3">
        <v>150</v>
      </c>
      <c r="B107" s="3">
        <f t="shared" si="6"/>
        <v>732000</v>
      </c>
      <c r="C107" s="5"/>
      <c r="D107" s="796"/>
      <c r="E107" s="796"/>
      <c r="F107" s="796"/>
    </row>
  </sheetData>
  <mergeCells count="14">
    <mergeCell ref="F99:F107"/>
    <mergeCell ref="E103:E107"/>
    <mergeCell ref="D105:D107"/>
    <mergeCell ref="A2:B2"/>
    <mergeCell ref="D2:G2"/>
    <mergeCell ref="A41:D41"/>
    <mergeCell ref="A68:D68"/>
    <mergeCell ref="A72:C72"/>
    <mergeCell ref="A18:E18"/>
    <mergeCell ref="A76:C76"/>
    <mergeCell ref="A80:C80"/>
    <mergeCell ref="F41:I41"/>
    <mergeCell ref="B86:F86"/>
    <mergeCell ref="A84:F84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8" tint="0.79998168889431442"/>
  </sheetPr>
  <dimension ref="A1:AN96"/>
  <sheetViews>
    <sheetView topLeftCell="A19" workbookViewId="0">
      <selection activeCell="N20" sqref="N20"/>
    </sheetView>
  </sheetViews>
  <sheetFormatPr defaultColWidth="8.85546875" defaultRowHeight="15" x14ac:dyDescent="0.25"/>
  <cols>
    <col min="2" max="2" width="10.85546875" customWidth="1"/>
    <col min="3" max="3" width="13.85546875" customWidth="1"/>
    <col min="8" max="8" width="10.42578125" customWidth="1"/>
    <col min="9" max="10" width="10.140625" customWidth="1"/>
    <col min="11" max="11" width="10.85546875" customWidth="1"/>
    <col min="12" max="12" width="15.85546875" customWidth="1"/>
    <col min="13" max="13" width="10.42578125" customWidth="1"/>
  </cols>
  <sheetData>
    <row r="1" spans="1:40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</row>
    <row r="2" spans="1:40" x14ac:dyDescent="0.25">
      <c r="A2" t="s">
        <v>315</v>
      </c>
      <c r="B2" t="s">
        <v>314</v>
      </c>
      <c r="C2" t="s">
        <v>313</v>
      </c>
      <c r="D2" t="s">
        <v>312</v>
      </c>
      <c r="E2" t="s">
        <v>316</v>
      </c>
      <c r="F2" t="s">
        <v>317</v>
      </c>
      <c r="G2" t="s">
        <v>318</v>
      </c>
      <c r="H2" t="s">
        <v>319</v>
      </c>
      <c r="I2" t="s">
        <v>320</v>
      </c>
    </row>
    <row r="3" spans="1:40" x14ac:dyDescent="0.25">
      <c r="A3">
        <v>0</v>
      </c>
      <c r="B3">
        <v>0</v>
      </c>
      <c r="C3">
        <v>108.5</v>
      </c>
      <c r="D3">
        <v>98</v>
      </c>
      <c r="E3">
        <v>87</v>
      </c>
      <c r="F3">
        <v>80</v>
      </c>
      <c r="G3">
        <v>73</v>
      </c>
      <c r="H3">
        <v>65</v>
      </c>
      <c r="I3">
        <v>60</v>
      </c>
    </row>
    <row r="4" spans="1:40" x14ac:dyDescent="0.25">
      <c r="A4">
        <v>20</v>
      </c>
      <c r="B4">
        <v>0</v>
      </c>
      <c r="C4">
        <v>95</v>
      </c>
      <c r="D4">
        <v>81</v>
      </c>
      <c r="E4">
        <v>87</v>
      </c>
      <c r="F4">
        <v>80</v>
      </c>
      <c r="G4">
        <v>73</v>
      </c>
      <c r="H4">
        <v>66</v>
      </c>
      <c r="I4">
        <v>60</v>
      </c>
    </row>
    <row r="5" spans="1:40" x14ac:dyDescent="0.25">
      <c r="A5">
        <v>40</v>
      </c>
      <c r="B5">
        <v>0</v>
      </c>
      <c r="C5">
        <v>79</v>
      </c>
      <c r="D5">
        <v>62</v>
      </c>
      <c r="E5" s="227">
        <v>89</v>
      </c>
      <c r="F5" s="227">
        <v>82</v>
      </c>
      <c r="G5">
        <v>74</v>
      </c>
      <c r="H5">
        <v>67</v>
      </c>
      <c r="I5">
        <v>60</v>
      </c>
    </row>
    <row r="6" spans="1:40" x14ac:dyDescent="0.25">
      <c r="A6">
        <v>0</v>
      </c>
      <c r="B6">
        <v>3000</v>
      </c>
      <c r="C6">
        <v>96</v>
      </c>
      <c r="D6">
        <v>86</v>
      </c>
      <c r="E6">
        <v>89</v>
      </c>
      <c r="F6">
        <v>81</v>
      </c>
      <c r="G6">
        <v>74</v>
      </c>
      <c r="H6">
        <v>66</v>
      </c>
      <c r="I6">
        <v>60</v>
      </c>
    </row>
    <row r="7" spans="1:40" x14ac:dyDescent="0.25">
      <c r="A7">
        <v>20</v>
      </c>
      <c r="B7">
        <v>3000</v>
      </c>
      <c r="C7">
        <v>84</v>
      </c>
      <c r="D7">
        <v>71</v>
      </c>
      <c r="E7" s="227">
        <v>89</v>
      </c>
      <c r="F7">
        <v>82</v>
      </c>
      <c r="G7">
        <v>75</v>
      </c>
      <c r="H7">
        <v>68</v>
      </c>
      <c r="I7">
        <v>60</v>
      </c>
    </row>
    <row r="8" spans="1:40" x14ac:dyDescent="0.25">
      <c r="A8">
        <v>40</v>
      </c>
      <c r="B8">
        <v>3000</v>
      </c>
      <c r="C8">
        <v>70</v>
      </c>
      <c r="D8">
        <v>54</v>
      </c>
      <c r="E8" s="227">
        <v>92</v>
      </c>
      <c r="F8" s="227">
        <v>84</v>
      </c>
      <c r="G8" s="227">
        <v>76</v>
      </c>
      <c r="H8">
        <v>68</v>
      </c>
      <c r="I8">
        <v>62</v>
      </c>
    </row>
    <row r="10" spans="1:40" x14ac:dyDescent="0.25">
      <c r="C10" t="s">
        <v>330</v>
      </c>
      <c r="D10" t="s">
        <v>313</v>
      </c>
      <c r="E10" t="s">
        <v>312</v>
      </c>
      <c r="F10" t="s">
        <v>316</v>
      </c>
      <c r="G10" t="s">
        <v>317</v>
      </c>
      <c r="H10" t="s">
        <v>318</v>
      </c>
      <c r="I10" t="s">
        <v>319</v>
      </c>
      <c r="J10" t="s">
        <v>320</v>
      </c>
    </row>
    <row r="11" spans="1:40" x14ac:dyDescent="0.25">
      <c r="A11" t="s">
        <v>327</v>
      </c>
      <c r="B11" t="s">
        <v>325</v>
      </c>
      <c r="C11">
        <f>IF('Performance Calculations'!$A$4&lt;20, 0, 20)</f>
        <v>0</v>
      </c>
      <c r="D11">
        <f>IF('Performance Calculations'!$A$4&lt;20, VLOOKUP(0,$A$3:$I$5,3), VLOOKUP(20,$A$3:$I$5,3))</f>
        <v>108.5</v>
      </c>
      <c r="E11">
        <f>IF('Performance Calculations'!$A$4&lt;20, VLOOKUP(0,$A$3:$I$5,4), VLOOKUP(20,$A$3:$I$5,4))</f>
        <v>98</v>
      </c>
      <c r="F11">
        <f>IF('Performance Calculations'!$A$4&lt;20, VLOOKUP(0,$A$3:$I$5,5), VLOOKUP(20,$A$3:$I$5,5))</f>
        <v>87</v>
      </c>
      <c r="G11">
        <f>IF('Performance Calculations'!$A$4&lt;20, VLOOKUP(0,$A$3:$I$5,6), VLOOKUP(20,$A$3:$I$5,6))</f>
        <v>80</v>
      </c>
      <c r="H11">
        <f>IF('Performance Calculations'!$A$4&lt;20, VLOOKUP(0,$A$3:$I$5,7), VLOOKUP(20,$A$3:$I$5,7))</f>
        <v>73</v>
      </c>
      <c r="I11">
        <f>IF('Performance Calculations'!$A$4&lt;20, VLOOKUP(0,$A$3:$I$5,8), VLOOKUP(20,$A$3:$I$5,8))</f>
        <v>65</v>
      </c>
      <c r="J11">
        <f>IF('Performance Calculations'!$A$4&lt;20, VLOOKUP(0,$A$3:$I$5,9), VLOOKUP(20,$A$3:$I$5,9))</f>
        <v>60</v>
      </c>
    </row>
    <row r="12" spans="1:40" x14ac:dyDescent="0.25">
      <c r="B12" t="s">
        <v>326</v>
      </c>
      <c r="C12">
        <f>IF('Performance Calculations'!$A$4&lt;20, 20, 40)</f>
        <v>20</v>
      </c>
      <c r="D12">
        <f>IF('Performance Calculations'!$A$4&lt;20, VLOOKUP(20,$A$3:$I$5,3), VLOOKUP(40,$A$3:$I$5,3))</f>
        <v>95</v>
      </c>
      <c r="E12">
        <f>IF('Performance Calculations'!$A$4&lt;20, VLOOKUP(20,$A$3:$I$5,4), VLOOKUP(40,$A$3:$I$5,4))</f>
        <v>81</v>
      </c>
      <c r="F12">
        <f>IF('Performance Calculations'!$A$4&lt;20, VLOOKUP(20,$A$3:$I$5,5), VLOOKUP(40,$A$3:$I$5,5))</f>
        <v>87</v>
      </c>
      <c r="G12">
        <f>IF('Performance Calculations'!$A$4&lt;20, VLOOKUP(20,$A$3:$I$5,6), VLOOKUP(40,$A$3:$I$5,6))</f>
        <v>80</v>
      </c>
      <c r="H12">
        <f>IF('Performance Calculations'!$A$4&lt;20, VLOOKUP(20,$A$3:$I$5,7), VLOOKUP(40,$A$3:$I$5,7))</f>
        <v>73</v>
      </c>
      <c r="I12">
        <f>IF('Performance Calculations'!$A$4&lt;20, VLOOKUP(20,$A$3:$I$5,8), VLOOKUP(40,$A$3:$I$5,8))</f>
        <v>66</v>
      </c>
      <c r="J12">
        <f>IF('Performance Calculations'!$A$4&lt;20, VLOOKUP(20,$A$3:$I$5,9), VLOOKUP(40,$A$3:$I$5,9))</f>
        <v>60</v>
      </c>
    </row>
    <row r="13" spans="1:40" x14ac:dyDescent="0.25">
      <c r="B13" t="s">
        <v>329</v>
      </c>
      <c r="C13" s="229"/>
      <c r="D13">
        <f>(-(D11-D12)/20)*('Performance Calculations'!$A$4-$C$11)+D11</f>
        <v>108.5</v>
      </c>
      <c r="E13">
        <f>(-(E11-E12)/20)*('Performance Calculations'!$A$4-$C$11)+E11</f>
        <v>98</v>
      </c>
      <c r="F13">
        <f>(-(F11-F12)/20)*('Performance Calculations'!$A$4-$C$11)+F11</f>
        <v>87</v>
      </c>
      <c r="G13">
        <f>(-(G11-G12)/20)*('Performance Calculations'!$A$4-$C$11)+G11</f>
        <v>80</v>
      </c>
      <c r="H13">
        <f>(-(H11-H12)/20)*('Performance Calculations'!$A$4-$C$11)+H11</f>
        <v>73</v>
      </c>
      <c r="I13">
        <f>(-(I11-I12)/20)*('Performance Calculations'!$A$4-$C$11)+I11</f>
        <v>65</v>
      </c>
      <c r="J13">
        <f>(-(J11-J12)/20)*('Performance Calculations'!$A$4-$C$11)+J11</f>
        <v>60</v>
      </c>
    </row>
    <row r="14" spans="1:40" x14ac:dyDescent="0.25">
      <c r="A14" t="s">
        <v>328</v>
      </c>
      <c r="B14" t="s">
        <v>325</v>
      </c>
      <c r="C14">
        <f>IF('Performance Calculations'!$A$4&lt;20, 0, 20)</f>
        <v>0</v>
      </c>
      <c r="D14">
        <f>IF('Performance Calculations'!$A$4&lt;20, VLOOKUP(0,$A$6:$I$8,3), VLOOKUP(20,$A$6:$I$8,3))</f>
        <v>96</v>
      </c>
      <c r="E14">
        <f>IF('Performance Calculations'!$A$4&lt;20, VLOOKUP(0,$A$6:$I$8,4), VLOOKUP(20,$A$6:$I$8,4))</f>
        <v>86</v>
      </c>
      <c r="F14">
        <f>IF('Performance Calculations'!$A$4&lt;20, VLOOKUP(0,$A$6:$I$8,5), VLOOKUP(20,$A$6:$I$8,5))</f>
        <v>89</v>
      </c>
      <c r="G14">
        <f>IF('Performance Calculations'!$A$4&lt;20, VLOOKUP(0,$A$6:$I$8,6), VLOOKUP(20,$A$6:$I$8,6))</f>
        <v>81</v>
      </c>
      <c r="H14">
        <f>IF('Performance Calculations'!$A$4&lt;20, VLOOKUP(0,$A$6:$I$8,7), VLOOKUP(20,$A$6:$I$8,7))</f>
        <v>74</v>
      </c>
      <c r="I14">
        <f>IF('Performance Calculations'!$A$4&lt;20, VLOOKUP(0,$A$6:$I$8,8), VLOOKUP(20,$A$6:$I$8,8))</f>
        <v>66</v>
      </c>
      <c r="J14">
        <f>IF('Performance Calculations'!$A$4&lt;20, VLOOKUP(0,$A$6:$I$8,9), VLOOKUP(20,$A$6:$I$8,9))</f>
        <v>60</v>
      </c>
    </row>
    <row r="15" spans="1:40" x14ac:dyDescent="0.25">
      <c r="B15" t="s">
        <v>326</v>
      </c>
      <c r="C15">
        <f>IF('Performance Calculations'!$A$4&lt;20, 20, 40)</f>
        <v>20</v>
      </c>
      <c r="D15">
        <f>IF('Performance Calculations'!$A$4&lt;20, VLOOKUP(20,$A$6:$I$8,3), VLOOKUP(40,$A$6:$I$8,3))</f>
        <v>84</v>
      </c>
      <c r="E15">
        <f>IF('Performance Calculations'!$A$4&lt;20, VLOOKUP(20,$A$6:$I$8,4), VLOOKUP(40,$A$6:$I$8,4))</f>
        <v>71</v>
      </c>
      <c r="F15">
        <f>IF('Performance Calculations'!$A$4&lt;20, VLOOKUP(20,$A$6:$I$8,5), VLOOKUP(40,$A$6:$I$8,5))</f>
        <v>89</v>
      </c>
      <c r="G15">
        <f>IF('Performance Calculations'!$A$4&lt;20, VLOOKUP(20,$A$6:$I$8,6), VLOOKUP(40,$A$6:$I$8,6))</f>
        <v>82</v>
      </c>
      <c r="H15">
        <f>IF('Performance Calculations'!$A$4&lt;20, VLOOKUP(20,$A$6:$I$8,7), VLOOKUP(40,$A$6:$I$8,7))</f>
        <v>75</v>
      </c>
      <c r="I15">
        <f>IF('Performance Calculations'!$A$4&lt;20, VLOOKUP(20,$A$6:$I$8,8), VLOOKUP(40,$A$6:$I$8,8))</f>
        <v>68</v>
      </c>
      <c r="J15">
        <f>IF('Performance Calculations'!$A$4&lt;20, VLOOKUP(20,$A$3:$I$5,9), VLOOKUP(40,$A$3:$I$5,9))</f>
        <v>60</v>
      </c>
    </row>
    <row r="16" spans="1:40" x14ac:dyDescent="0.25">
      <c r="B16" t="s">
        <v>329</v>
      </c>
      <c r="C16" s="229"/>
      <c r="D16">
        <f>(-(D14-D15)/20)*('Performance Calculations'!$A$4-$C$14)+D14</f>
        <v>96</v>
      </c>
      <c r="E16">
        <f>(-(E14-E15)/20)*('Performance Calculations'!$A$4-$C$14)+E14</f>
        <v>86</v>
      </c>
      <c r="F16">
        <f>(-(F14-F15)/20)*('Performance Calculations'!$A$4-$C$14)+F14</f>
        <v>89</v>
      </c>
      <c r="G16">
        <f>(-(G14-G15)/20)*('Performance Calculations'!$A$4-$C$14)+G14</f>
        <v>81</v>
      </c>
      <c r="H16">
        <f>(-(H14-H15)/20)*('Performance Calculations'!$A$4-$C$14)+H14</f>
        <v>74</v>
      </c>
      <c r="I16">
        <f>(-(I14-I15)/20)*('Performance Calculations'!$A$4-$C$14)+I14</f>
        <v>66</v>
      </c>
      <c r="J16">
        <f>(-(J14-J15)/20)*('Performance Calculations'!$A$4-$C$14)+J14</f>
        <v>60</v>
      </c>
    </row>
    <row r="17" spans="1:32" x14ac:dyDescent="0.25">
      <c r="A17" t="s">
        <v>331</v>
      </c>
      <c r="C17" s="229"/>
      <c r="D17">
        <f>-((D13-D16)/3000)*('Performance Calculations'!$A$6-0)+D13</f>
        <v>108.5</v>
      </c>
      <c r="E17">
        <f>-((E13-E16)/3000)*('Performance Calculations'!$A$6-0)+E13</f>
        <v>98</v>
      </c>
      <c r="F17">
        <f>-((F13-F16)/3000)*('Performance Calculations'!$A$6-0)+F13</f>
        <v>87</v>
      </c>
      <c r="G17">
        <f>-((G13-G16)/3000)*('Performance Calculations'!$A$6-0)+G13</f>
        <v>80</v>
      </c>
      <c r="H17">
        <f>-((H13-H16)/3000)*('Performance Calculations'!$A$6-0)+H13</f>
        <v>73</v>
      </c>
      <c r="I17">
        <f>-((I13-I16)/3000)*('Performance Calculations'!$A$6-0)+I13</f>
        <v>65</v>
      </c>
      <c r="J17">
        <f>-((J13-J16)/3000)*('Performance Calculations'!$A$6-0)+J13</f>
        <v>60</v>
      </c>
    </row>
    <row r="18" spans="1:32" x14ac:dyDescent="0.25">
      <c r="F18" t="s">
        <v>332</v>
      </c>
      <c r="G18" t="s">
        <v>333</v>
      </c>
      <c r="H18" t="s">
        <v>334</v>
      </c>
      <c r="I18" t="s">
        <v>335</v>
      </c>
    </row>
    <row r="19" spans="1:32" x14ac:dyDescent="0.25">
      <c r="E19" s="143" t="s">
        <v>224</v>
      </c>
      <c r="F19" t="e">
        <f>((F$17-G$17)/200)*('Performance Calculations'!$D4-2650)+G$17</f>
        <v>#VALUE!</v>
      </c>
      <c r="G19" t="e">
        <f>((G$17-H$17)/200)*('Performance Calculations'!$D4-2450)+H$17</f>
        <v>#VALUE!</v>
      </c>
      <c r="H19" t="e">
        <f>((H$17-I$17)/200)*('Performance Calculations'!$D4-2250)+I$17</f>
        <v>#VALUE!</v>
      </c>
      <c r="I19" t="e">
        <f>((I$17-J$17)/200)*('Performance Calculations'!$D4-2050)+J$17</f>
        <v>#VALUE!</v>
      </c>
    </row>
    <row r="20" spans="1:32" x14ac:dyDescent="0.25">
      <c r="E20" s="143" t="s">
        <v>249</v>
      </c>
      <c r="F20" t="e">
        <f>((F$17-G$17)/200)*('Performance Calculations'!$D5-2650)+G$17</f>
        <v>#VALUE!</v>
      </c>
      <c r="G20" t="e">
        <f>((G$17-H$17)/200)*('Performance Calculations'!$D5-2450)+H$17</f>
        <v>#VALUE!</v>
      </c>
      <c r="H20" t="e">
        <f>((H$17-I$17)/200)*('Performance Calculations'!$D5-2250)+I$17</f>
        <v>#VALUE!</v>
      </c>
      <c r="I20" t="e">
        <f>((I$17-J$17)/200)*('Performance Calculations'!$D5-2050)+J$17</f>
        <v>#VALUE!</v>
      </c>
    </row>
    <row r="21" spans="1:32" x14ac:dyDescent="0.25">
      <c r="E21" s="143" t="s">
        <v>322</v>
      </c>
      <c r="F21" t="e">
        <f>((F$17-G$17)/200)*('Performance Calculations'!$D6-2650)+G$17</f>
        <v>#VALUE!</v>
      </c>
      <c r="G21" t="e">
        <f>((G$17-H$17)/200)*('Performance Calculations'!$D6-2450)+H$17</f>
        <v>#VALUE!</v>
      </c>
      <c r="H21" t="e">
        <f>((H$17-I$17)/200)*('Performance Calculations'!$D6-2250)+I$17</f>
        <v>#VALUE!</v>
      </c>
      <c r="I21" t="e">
        <f>((I$17-J$17)/200)*('Performance Calculations'!$D6-2050)+J$17</f>
        <v>#VALUE!</v>
      </c>
    </row>
    <row r="22" spans="1:32" x14ac:dyDescent="0.25">
      <c r="E22" s="143" t="s">
        <v>321</v>
      </c>
      <c r="F22" t="e">
        <f>((F$17-G$17)/200)*('Performance Calculations'!$D7-2650)+G$17</f>
        <v>#VALUE!</v>
      </c>
      <c r="G22" t="e">
        <f>((G$17-H$17)/200)*('Performance Calculations'!$D7-2450)+H$17</f>
        <v>#VALUE!</v>
      </c>
      <c r="H22" t="e">
        <f>((H$17-I$17)/200)*('Performance Calculations'!$D7-2250)+I$17</f>
        <v>#VALUE!</v>
      </c>
      <c r="I22" t="e">
        <f>((I$17-J$17)/200)*('Performance Calculations'!$D7-2050)+J$17</f>
        <v>#VALUE!</v>
      </c>
    </row>
    <row r="24" spans="1:32" ht="15.75" thickBot="1" x14ac:dyDescent="0.3"/>
    <row r="25" spans="1:32" x14ac:dyDescent="0.25">
      <c r="E25" s="285" t="s">
        <v>150</v>
      </c>
      <c r="F25" s="287" t="s">
        <v>229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3"/>
      <c r="S25" t="s">
        <v>150</v>
      </c>
      <c r="T25" s="157" t="s">
        <v>230</v>
      </c>
    </row>
    <row r="26" spans="1:32" x14ac:dyDescent="0.25">
      <c r="A26" t="s">
        <v>315</v>
      </c>
      <c r="B26" t="s">
        <v>314</v>
      </c>
      <c r="C26" t="s">
        <v>313</v>
      </c>
      <c r="D26" t="s">
        <v>312</v>
      </c>
      <c r="E26" s="16" t="s">
        <v>530</v>
      </c>
      <c r="F26" t="s">
        <v>531</v>
      </c>
      <c r="G26" t="s">
        <v>532</v>
      </c>
      <c r="H26" t="s">
        <v>533</v>
      </c>
      <c r="I26" t="s">
        <v>534</v>
      </c>
      <c r="J26" t="s">
        <v>535</v>
      </c>
      <c r="K26" t="s">
        <v>536</v>
      </c>
      <c r="L26" t="s">
        <v>537</v>
      </c>
      <c r="M26" t="s">
        <v>538</v>
      </c>
      <c r="N26" t="s">
        <v>539</v>
      </c>
      <c r="O26" t="s">
        <v>540</v>
      </c>
      <c r="P26" t="s">
        <v>541</v>
      </c>
      <c r="Q26" t="s">
        <v>542</v>
      </c>
      <c r="R26" s="286" t="s">
        <v>543</v>
      </c>
      <c r="S26" t="s">
        <v>544</v>
      </c>
      <c r="T26" t="s">
        <v>545</v>
      </c>
      <c r="U26" t="s">
        <v>546</v>
      </c>
      <c r="V26" t="s">
        <v>547</v>
      </c>
      <c r="W26" t="s">
        <v>548</v>
      </c>
      <c r="X26" t="s">
        <v>549</v>
      </c>
      <c r="Y26" t="s">
        <v>550</v>
      </c>
      <c r="Z26" t="s">
        <v>551</v>
      </c>
      <c r="AA26" t="s">
        <v>552</v>
      </c>
      <c r="AB26" t="s">
        <v>553</v>
      </c>
      <c r="AC26" t="s">
        <v>554</v>
      </c>
      <c r="AD26" t="s">
        <v>555</v>
      </c>
      <c r="AE26" t="s">
        <v>556</v>
      </c>
      <c r="AF26" t="s">
        <v>557</v>
      </c>
    </row>
    <row r="27" spans="1:32" x14ac:dyDescent="0.25">
      <c r="A27" s="23">
        <v>0</v>
      </c>
      <c r="B27" s="23">
        <v>0</v>
      </c>
      <c r="C27" s="288">
        <v>108.5</v>
      </c>
      <c r="D27" s="288">
        <v>100</v>
      </c>
      <c r="E27" s="289">
        <v>74</v>
      </c>
      <c r="F27" s="23">
        <v>73</v>
      </c>
      <c r="G27" s="23">
        <v>70</v>
      </c>
      <c r="H27" s="23">
        <v>68</v>
      </c>
      <c r="I27" s="23">
        <v>65</v>
      </c>
      <c r="J27" s="23">
        <v>62</v>
      </c>
      <c r="K27" s="23">
        <v>60</v>
      </c>
      <c r="L27" s="23">
        <v>58</v>
      </c>
      <c r="M27" s="23">
        <v>55</v>
      </c>
      <c r="N27" s="23">
        <v>52</v>
      </c>
      <c r="O27" s="23">
        <v>50</v>
      </c>
      <c r="P27" s="23">
        <v>48</v>
      </c>
      <c r="Q27" s="23">
        <v>45</v>
      </c>
      <c r="R27" s="290">
        <v>43</v>
      </c>
      <c r="S27" s="23">
        <v>87</v>
      </c>
      <c r="T27" s="23">
        <v>85</v>
      </c>
      <c r="U27" s="23">
        <v>82</v>
      </c>
      <c r="V27" s="23">
        <v>79</v>
      </c>
      <c r="W27" s="23">
        <v>76</v>
      </c>
      <c r="X27" s="23">
        <v>73</v>
      </c>
      <c r="Y27" s="23">
        <v>70</v>
      </c>
      <c r="Z27" s="23">
        <v>67</v>
      </c>
      <c r="AA27" s="23">
        <v>64</v>
      </c>
      <c r="AB27" s="23">
        <v>61</v>
      </c>
      <c r="AC27" s="23">
        <v>58</v>
      </c>
      <c r="AD27" s="23">
        <v>55</v>
      </c>
      <c r="AE27" s="23">
        <v>53</v>
      </c>
      <c r="AF27" s="23">
        <v>50</v>
      </c>
    </row>
    <row r="28" spans="1:32" x14ac:dyDescent="0.25">
      <c r="A28" s="23">
        <v>10</v>
      </c>
      <c r="B28" s="23">
        <v>0</v>
      </c>
      <c r="C28" s="288">
        <v>108.5</v>
      </c>
      <c r="D28" s="288">
        <v>100</v>
      </c>
      <c r="E28" s="289">
        <v>75</v>
      </c>
      <c r="F28" s="23">
        <v>74</v>
      </c>
      <c r="G28" s="23">
        <v>71</v>
      </c>
      <c r="H28" s="23">
        <v>68</v>
      </c>
      <c r="I28" s="23">
        <v>66</v>
      </c>
      <c r="J28" s="23">
        <v>62</v>
      </c>
      <c r="K28" s="23">
        <v>60</v>
      </c>
      <c r="L28" s="23">
        <v>58</v>
      </c>
      <c r="M28" s="23">
        <v>55</v>
      </c>
      <c r="N28" s="23">
        <v>52</v>
      </c>
      <c r="O28" s="23">
        <v>50</v>
      </c>
      <c r="P28" s="23">
        <v>48</v>
      </c>
      <c r="Q28" s="23">
        <v>45</v>
      </c>
      <c r="R28" s="290">
        <v>43</v>
      </c>
      <c r="S28" s="23">
        <v>87</v>
      </c>
      <c r="T28" s="23">
        <v>86</v>
      </c>
      <c r="U28" s="23">
        <v>83</v>
      </c>
      <c r="V28" s="23">
        <v>79</v>
      </c>
      <c r="W28" s="23">
        <v>76</v>
      </c>
      <c r="X28" s="23">
        <v>73</v>
      </c>
      <c r="Y28" s="23">
        <v>70</v>
      </c>
      <c r="Z28" s="23">
        <v>67</v>
      </c>
      <c r="AA28" s="23">
        <v>64</v>
      </c>
      <c r="AB28" s="23">
        <v>61</v>
      </c>
      <c r="AC28" s="23">
        <v>58</v>
      </c>
      <c r="AD28" s="23">
        <v>56</v>
      </c>
      <c r="AE28" s="23">
        <v>53</v>
      </c>
      <c r="AF28" s="23">
        <v>50</v>
      </c>
    </row>
    <row r="29" spans="1:32" x14ac:dyDescent="0.25">
      <c r="A29" s="23">
        <v>20</v>
      </c>
      <c r="B29" s="23">
        <v>0</v>
      </c>
      <c r="C29" s="288">
        <v>107.5</v>
      </c>
      <c r="D29" s="288">
        <v>91</v>
      </c>
      <c r="E29" s="289">
        <v>75</v>
      </c>
      <c r="F29" s="23">
        <v>74</v>
      </c>
      <c r="G29" s="23">
        <v>72</v>
      </c>
      <c r="H29" s="23">
        <v>68</v>
      </c>
      <c r="I29" s="23">
        <v>66</v>
      </c>
      <c r="J29" s="23">
        <v>63</v>
      </c>
      <c r="K29" s="23">
        <v>60</v>
      </c>
      <c r="L29" s="23">
        <v>58</v>
      </c>
      <c r="M29" s="23">
        <v>55</v>
      </c>
      <c r="N29" s="23">
        <v>53</v>
      </c>
      <c r="O29" s="23">
        <v>50</v>
      </c>
      <c r="P29" s="23">
        <v>48</v>
      </c>
      <c r="Q29" s="23">
        <v>45</v>
      </c>
      <c r="R29" s="290">
        <v>43</v>
      </c>
      <c r="S29" s="23">
        <v>88</v>
      </c>
      <c r="T29" s="23">
        <v>87</v>
      </c>
      <c r="U29" s="23">
        <v>83</v>
      </c>
      <c r="V29" s="23">
        <v>80</v>
      </c>
      <c r="W29" s="23">
        <v>77</v>
      </c>
      <c r="X29" s="23">
        <v>73</v>
      </c>
      <c r="Y29" s="23">
        <v>70</v>
      </c>
      <c r="Z29" s="23">
        <v>70</v>
      </c>
      <c r="AA29" s="23">
        <v>64</v>
      </c>
      <c r="AB29" s="23">
        <v>61</v>
      </c>
      <c r="AC29" s="23">
        <v>58</v>
      </c>
      <c r="AD29" s="23">
        <v>56</v>
      </c>
      <c r="AE29" s="23">
        <v>53</v>
      </c>
      <c r="AF29" s="23">
        <v>50</v>
      </c>
    </row>
    <row r="30" spans="1:32" x14ac:dyDescent="0.25">
      <c r="A30" s="23">
        <v>30</v>
      </c>
      <c r="B30" s="23">
        <v>0</v>
      </c>
      <c r="C30" s="288">
        <v>98.5</v>
      </c>
      <c r="D30" s="288">
        <v>81</v>
      </c>
      <c r="E30" s="289">
        <v>76</v>
      </c>
      <c r="F30" s="23">
        <v>75</v>
      </c>
      <c r="G30" s="23">
        <v>72</v>
      </c>
      <c r="H30" s="23">
        <v>69</v>
      </c>
      <c r="I30" s="23">
        <v>66</v>
      </c>
      <c r="J30" s="23">
        <v>64</v>
      </c>
      <c r="K30" s="23">
        <v>60</v>
      </c>
      <c r="L30" s="23">
        <v>58</v>
      </c>
      <c r="M30" s="23">
        <v>56</v>
      </c>
      <c r="N30" s="23">
        <v>53</v>
      </c>
      <c r="O30" s="23">
        <v>50</v>
      </c>
      <c r="P30" s="23">
        <v>48</v>
      </c>
      <c r="Q30" s="23">
        <v>46</v>
      </c>
      <c r="R30" s="290">
        <v>44</v>
      </c>
      <c r="S30" s="23">
        <v>89</v>
      </c>
      <c r="T30" s="23">
        <v>87</v>
      </c>
      <c r="U30" s="23">
        <v>84</v>
      </c>
      <c r="V30" s="23">
        <v>81</v>
      </c>
      <c r="W30" s="23">
        <v>77</v>
      </c>
      <c r="X30" s="23">
        <v>74</v>
      </c>
      <c r="Y30" s="23">
        <v>71</v>
      </c>
      <c r="Z30" s="23">
        <v>68</v>
      </c>
      <c r="AA30" s="23">
        <v>65</v>
      </c>
      <c r="AB30" s="23">
        <v>62</v>
      </c>
      <c r="AC30" s="23">
        <v>59</v>
      </c>
      <c r="AD30" s="23">
        <v>56</v>
      </c>
      <c r="AE30" s="23">
        <v>53</v>
      </c>
      <c r="AF30" s="23">
        <v>50</v>
      </c>
    </row>
    <row r="31" spans="1:32" x14ac:dyDescent="0.25">
      <c r="A31" s="23">
        <v>40</v>
      </c>
      <c r="B31" s="23">
        <v>0</v>
      </c>
      <c r="C31" s="288">
        <v>88.5</v>
      </c>
      <c r="D31" s="288">
        <v>70</v>
      </c>
      <c r="E31" s="289">
        <v>77</v>
      </c>
      <c r="F31" s="23">
        <v>76</v>
      </c>
      <c r="G31" s="23">
        <v>72</v>
      </c>
      <c r="H31" s="23">
        <v>70</v>
      </c>
      <c r="I31" s="23">
        <v>66</v>
      </c>
      <c r="J31" s="23">
        <v>64</v>
      </c>
      <c r="K31" s="23">
        <v>61</v>
      </c>
      <c r="L31" s="23">
        <v>58</v>
      </c>
      <c r="M31" s="23">
        <v>56</v>
      </c>
      <c r="N31" s="23">
        <v>53</v>
      </c>
      <c r="O31" s="23">
        <v>50</v>
      </c>
      <c r="P31" s="23">
        <v>48</v>
      </c>
      <c r="Q31" s="23">
        <v>46</v>
      </c>
      <c r="R31" s="290">
        <v>44</v>
      </c>
      <c r="S31" s="23">
        <v>89</v>
      </c>
      <c r="T31" s="23">
        <v>88</v>
      </c>
      <c r="U31" s="23">
        <v>84</v>
      </c>
      <c r="V31" s="23">
        <v>82</v>
      </c>
      <c r="W31" s="23">
        <v>78</v>
      </c>
      <c r="X31" s="23">
        <v>74</v>
      </c>
      <c r="Y31" s="23">
        <v>71</v>
      </c>
      <c r="Z31" s="23">
        <v>68</v>
      </c>
      <c r="AA31" s="23">
        <v>65</v>
      </c>
      <c r="AB31" s="23">
        <v>62</v>
      </c>
      <c r="AC31" s="23">
        <v>59</v>
      </c>
      <c r="AD31" s="23">
        <v>56</v>
      </c>
      <c r="AE31" s="23">
        <v>53</v>
      </c>
      <c r="AF31" s="23">
        <v>50</v>
      </c>
    </row>
    <row r="32" spans="1:32" x14ac:dyDescent="0.25">
      <c r="A32" s="23">
        <v>0</v>
      </c>
      <c r="B32" s="23">
        <v>1000</v>
      </c>
      <c r="C32" s="288">
        <v>108.5</v>
      </c>
      <c r="D32" s="288">
        <v>100</v>
      </c>
      <c r="E32" s="289">
        <v>75</v>
      </c>
      <c r="F32" s="23">
        <v>74</v>
      </c>
      <c r="G32" s="23">
        <v>71</v>
      </c>
      <c r="H32" s="23">
        <v>68</v>
      </c>
      <c r="I32" s="23">
        <v>65</v>
      </c>
      <c r="J32" s="23">
        <v>62</v>
      </c>
      <c r="K32" s="23">
        <v>60</v>
      </c>
      <c r="L32" s="23">
        <v>58</v>
      </c>
      <c r="M32" s="23">
        <v>55</v>
      </c>
      <c r="N32" s="23">
        <v>52</v>
      </c>
      <c r="O32" s="23">
        <v>50</v>
      </c>
      <c r="P32" s="23">
        <v>48</v>
      </c>
      <c r="Q32" s="23">
        <v>45</v>
      </c>
      <c r="R32" s="290">
        <v>43</v>
      </c>
      <c r="S32" s="23">
        <v>87</v>
      </c>
      <c r="T32" s="23">
        <v>86</v>
      </c>
      <c r="U32" s="23">
        <v>83</v>
      </c>
      <c r="V32" s="23">
        <v>79</v>
      </c>
      <c r="W32" s="23">
        <v>76</v>
      </c>
      <c r="X32" s="23">
        <v>73</v>
      </c>
      <c r="Y32" s="23">
        <v>70</v>
      </c>
      <c r="Z32" s="23">
        <v>67</v>
      </c>
      <c r="AA32" s="23">
        <v>64</v>
      </c>
      <c r="AB32" s="23">
        <v>61</v>
      </c>
      <c r="AC32" s="23">
        <v>58</v>
      </c>
      <c r="AD32" s="23">
        <v>55</v>
      </c>
      <c r="AE32" s="23">
        <v>53</v>
      </c>
      <c r="AF32" s="23">
        <v>50</v>
      </c>
    </row>
    <row r="33" spans="1:32" x14ac:dyDescent="0.25">
      <c r="A33" s="23">
        <v>10</v>
      </c>
      <c r="B33" s="23">
        <v>1000</v>
      </c>
      <c r="C33" s="288">
        <v>108.5</v>
      </c>
      <c r="D33" s="288">
        <v>97</v>
      </c>
      <c r="E33" s="289">
        <v>76</v>
      </c>
      <c r="F33" s="23">
        <v>74</v>
      </c>
      <c r="G33" s="23">
        <v>71</v>
      </c>
      <c r="H33" s="23">
        <v>68</v>
      </c>
      <c r="I33" s="23">
        <v>66</v>
      </c>
      <c r="J33" s="23">
        <v>63</v>
      </c>
      <c r="K33" s="23">
        <v>61</v>
      </c>
      <c r="L33" s="23">
        <v>58</v>
      </c>
      <c r="M33" s="23">
        <v>56</v>
      </c>
      <c r="N33" s="23">
        <v>52</v>
      </c>
      <c r="O33" s="23">
        <v>50</v>
      </c>
      <c r="P33" s="23">
        <v>48</v>
      </c>
      <c r="Q33" s="23">
        <v>46</v>
      </c>
      <c r="R33" s="290">
        <v>43</v>
      </c>
      <c r="S33" s="23">
        <v>88</v>
      </c>
      <c r="T33" s="23">
        <v>87</v>
      </c>
      <c r="U33" s="23">
        <v>83</v>
      </c>
      <c r="V33" s="23">
        <v>80</v>
      </c>
      <c r="W33" s="23">
        <v>77</v>
      </c>
      <c r="X33" s="23">
        <v>73</v>
      </c>
      <c r="Y33" s="23">
        <v>70</v>
      </c>
      <c r="Z33" s="23">
        <v>67</v>
      </c>
      <c r="AA33" s="23">
        <v>64</v>
      </c>
      <c r="AB33" s="23">
        <v>61</v>
      </c>
      <c r="AC33" s="23">
        <v>58</v>
      </c>
      <c r="AD33" s="23">
        <v>56</v>
      </c>
      <c r="AE33" s="23">
        <v>53</v>
      </c>
      <c r="AF33" s="23">
        <v>50</v>
      </c>
    </row>
    <row r="34" spans="1:32" x14ac:dyDescent="0.25">
      <c r="A34" s="23">
        <v>20</v>
      </c>
      <c r="B34" s="23">
        <v>1000</v>
      </c>
      <c r="C34" s="288">
        <v>103.5</v>
      </c>
      <c r="D34" s="288">
        <v>87.5</v>
      </c>
      <c r="E34" s="289">
        <v>76</v>
      </c>
      <c r="F34" s="23">
        <v>75</v>
      </c>
      <c r="G34" s="23">
        <v>72</v>
      </c>
      <c r="H34" s="23">
        <v>69</v>
      </c>
      <c r="I34" s="23">
        <v>66</v>
      </c>
      <c r="J34" s="23">
        <v>64</v>
      </c>
      <c r="K34" s="23">
        <v>61</v>
      </c>
      <c r="L34" s="23">
        <v>58</v>
      </c>
      <c r="M34" s="23">
        <v>56</v>
      </c>
      <c r="N34" s="23">
        <v>53</v>
      </c>
      <c r="O34" s="23">
        <v>51</v>
      </c>
      <c r="P34" s="23">
        <v>48</v>
      </c>
      <c r="Q34" s="23">
        <v>46</v>
      </c>
      <c r="R34" s="290">
        <v>44</v>
      </c>
      <c r="S34" s="23">
        <v>89</v>
      </c>
      <c r="T34" s="23">
        <v>87</v>
      </c>
      <c r="U34" s="23">
        <v>84</v>
      </c>
      <c r="V34" s="23">
        <v>81</v>
      </c>
      <c r="W34" s="23">
        <v>77</v>
      </c>
      <c r="X34" s="23">
        <v>74</v>
      </c>
      <c r="Y34" s="23">
        <v>71</v>
      </c>
      <c r="Z34" s="23">
        <v>68</v>
      </c>
      <c r="AA34" s="23">
        <v>65</v>
      </c>
      <c r="AB34" s="23">
        <v>62</v>
      </c>
      <c r="AC34" s="23">
        <v>59</v>
      </c>
      <c r="AD34" s="23">
        <v>56</v>
      </c>
      <c r="AE34" s="23">
        <v>53</v>
      </c>
      <c r="AF34" s="23">
        <v>50</v>
      </c>
    </row>
    <row r="35" spans="1:32" x14ac:dyDescent="0.25">
      <c r="A35" s="23">
        <v>30</v>
      </c>
      <c r="B35" s="23">
        <v>1000</v>
      </c>
      <c r="C35" s="288">
        <v>95</v>
      </c>
      <c r="D35" s="288">
        <v>78</v>
      </c>
      <c r="E35" s="289">
        <v>77</v>
      </c>
      <c r="F35" s="23">
        <v>76</v>
      </c>
      <c r="G35" s="23">
        <v>72</v>
      </c>
      <c r="H35" s="23">
        <v>70</v>
      </c>
      <c r="I35" s="23">
        <v>67</v>
      </c>
      <c r="J35" s="23">
        <v>64</v>
      </c>
      <c r="K35" s="23">
        <v>61</v>
      </c>
      <c r="L35" s="23">
        <v>59</v>
      </c>
      <c r="M35" s="23">
        <v>56</v>
      </c>
      <c r="N35" s="23">
        <v>53</v>
      </c>
      <c r="O35" s="23">
        <v>51</v>
      </c>
      <c r="P35" s="23">
        <v>48</v>
      </c>
      <c r="Q35" s="23">
        <v>45</v>
      </c>
      <c r="R35" s="290">
        <v>44</v>
      </c>
      <c r="S35" s="23">
        <v>90</v>
      </c>
      <c r="T35" s="23">
        <v>88</v>
      </c>
      <c r="U35" s="23">
        <v>84</v>
      </c>
      <c r="V35" s="23">
        <v>82</v>
      </c>
      <c r="W35" s="23">
        <v>78</v>
      </c>
      <c r="X35" s="23">
        <v>74</v>
      </c>
      <c r="Y35" s="23">
        <v>71</v>
      </c>
      <c r="Z35" s="23">
        <v>68</v>
      </c>
      <c r="AA35" s="23">
        <v>65</v>
      </c>
      <c r="AB35" s="23">
        <v>62</v>
      </c>
      <c r="AC35" s="23">
        <v>59</v>
      </c>
      <c r="AD35" s="23">
        <v>56</v>
      </c>
      <c r="AE35" s="23">
        <v>53</v>
      </c>
      <c r="AF35" s="23">
        <v>50</v>
      </c>
    </row>
    <row r="36" spans="1:32" x14ac:dyDescent="0.25">
      <c r="A36" s="23">
        <v>40</v>
      </c>
      <c r="B36" s="23">
        <v>1000</v>
      </c>
      <c r="C36" s="288">
        <v>85.5</v>
      </c>
      <c r="D36" s="288">
        <v>67</v>
      </c>
      <c r="E36" s="289">
        <v>77</v>
      </c>
      <c r="F36" s="23">
        <v>76</v>
      </c>
      <c r="G36" s="23">
        <v>73</v>
      </c>
      <c r="H36" s="23">
        <v>70</v>
      </c>
      <c r="I36" s="23">
        <v>67</v>
      </c>
      <c r="J36" s="23">
        <v>64</v>
      </c>
      <c r="K36" s="23">
        <v>62</v>
      </c>
      <c r="L36" s="23">
        <v>59</v>
      </c>
      <c r="M36" s="23">
        <v>56</v>
      </c>
      <c r="N36" s="23">
        <v>54</v>
      </c>
      <c r="O36" s="23">
        <v>51</v>
      </c>
      <c r="P36" s="23">
        <v>48</v>
      </c>
      <c r="Q36" s="23">
        <v>46</v>
      </c>
      <c r="R36" s="290">
        <v>44</v>
      </c>
      <c r="S36" s="23">
        <v>90</v>
      </c>
      <c r="T36" s="23">
        <v>89</v>
      </c>
      <c r="U36" s="23">
        <v>85</v>
      </c>
      <c r="V36" s="23">
        <v>82</v>
      </c>
      <c r="W36" s="23">
        <v>78</v>
      </c>
      <c r="X36" s="23">
        <v>75</v>
      </c>
      <c r="Y36" s="23">
        <v>71</v>
      </c>
      <c r="Z36" s="23">
        <v>68</v>
      </c>
      <c r="AA36" s="23">
        <v>65</v>
      </c>
      <c r="AB36" s="23">
        <v>62</v>
      </c>
      <c r="AC36" s="23">
        <v>59</v>
      </c>
      <c r="AD36" s="23">
        <v>56</v>
      </c>
      <c r="AE36" s="23">
        <v>53</v>
      </c>
      <c r="AF36" s="23">
        <v>50</v>
      </c>
    </row>
    <row r="37" spans="1:32" x14ac:dyDescent="0.25">
      <c r="A37" s="23">
        <v>0</v>
      </c>
      <c r="B37" s="23">
        <v>2000</v>
      </c>
      <c r="C37" s="288">
        <v>108.5</v>
      </c>
      <c r="D37" s="288">
        <v>100</v>
      </c>
      <c r="E37" s="289">
        <v>76</v>
      </c>
      <c r="F37" s="23">
        <v>74</v>
      </c>
      <c r="G37" s="23">
        <v>72</v>
      </c>
      <c r="H37" s="23">
        <v>68</v>
      </c>
      <c r="I37" s="23">
        <v>66</v>
      </c>
      <c r="J37" s="23">
        <v>63</v>
      </c>
      <c r="K37" s="23">
        <v>61</v>
      </c>
      <c r="L37" s="23">
        <v>58</v>
      </c>
      <c r="M37" s="23">
        <v>55</v>
      </c>
      <c r="N37" s="23">
        <v>52</v>
      </c>
      <c r="O37" s="23">
        <v>50</v>
      </c>
      <c r="P37" s="23">
        <v>48</v>
      </c>
      <c r="Q37" s="23">
        <v>46</v>
      </c>
      <c r="R37" s="290">
        <v>43</v>
      </c>
      <c r="S37" s="23">
        <v>88</v>
      </c>
      <c r="T37" s="23">
        <v>87</v>
      </c>
      <c r="U37" s="23">
        <v>83</v>
      </c>
      <c r="V37" s="23">
        <v>80</v>
      </c>
      <c r="W37" s="23">
        <v>77</v>
      </c>
      <c r="X37" s="23">
        <v>73</v>
      </c>
      <c r="Y37" s="23">
        <v>70</v>
      </c>
      <c r="Z37" s="23">
        <v>67</v>
      </c>
      <c r="AA37" s="23">
        <v>64</v>
      </c>
      <c r="AB37" s="23">
        <v>61</v>
      </c>
      <c r="AC37" s="23">
        <v>58</v>
      </c>
      <c r="AD37" s="23">
        <v>56</v>
      </c>
      <c r="AE37" s="23">
        <v>53</v>
      </c>
      <c r="AF37" s="23">
        <v>50</v>
      </c>
    </row>
    <row r="38" spans="1:32" x14ac:dyDescent="0.25">
      <c r="A38" s="23">
        <v>10</v>
      </c>
      <c r="B38" s="23">
        <v>2000</v>
      </c>
      <c r="C38" s="288">
        <v>107.5</v>
      </c>
      <c r="D38" s="288">
        <v>93.5</v>
      </c>
      <c r="E38" s="289">
        <v>76</v>
      </c>
      <c r="F38" s="23">
        <v>75</v>
      </c>
      <c r="G38" s="23">
        <v>72</v>
      </c>
      <c r="H38" s="23">
        <v>69</v>
      </c>
      <c r="I38" s="23">
        <v>66</v>
      </c>
      <c r="J38" s="23">
        <v>64</v>
      </c>
      <c r="K38" s="23">
        <v>61</v>
      </c>
      <c r="L38" s="23">
        <v>58</v>
      </c>
      <c r="M38" s="23">
        <v>56</v>
      </c>
      <c r="N38" s="23">
        <v>53</v>
      </c>
      <c r="O38" s="23">
        <v>51</v>
      </c>
      <c r="P38" s="23">
        <v>48</v>
      </c>
      <c r="Q38" s="23">
        <v>46</v>
      </c>
      <c r="R38" s="290">
        <v>43</v>
      </c>
      <c r="S38" s="23">
        <v>89</v>
      </c>
      <c r="T38" s="23">
        <v>87</v>
      </c>
      <c r="U38" s="23">
        <v>84</v>
      </c>
      <c r="V38" s="23">
        <v>81</v>
      </c>
      <c r="W38" s="23">
        <v>77</v>
      </c>
      <c r="X38" s="23">
        <v>74</v>
      </c>
      <c r="Y38" s="23">
        <v>71</v>
      </c>
      <c r="Z38" s="23">
        <v>68</v>
      </c>
      <c r="AA38" s="23">
        <v>65</v>
      </c>
      <c r="AB38" s="23">
        <v>63</v>
      </c>
      <c r="AC38" s="23">
        <v>59</v>
      </c>
      <c r="AD38" s="23">
        <v>56</v>
      </c>
      <c r="AE38" s="23">
        <v>53</v>
      </c>
      <c r="AF38" s="23">
        <v>50</v>
      </c>
    </row>
    <row r="39" spans="1:32" x14ac:dyDescent="0.25">
      <c r="A39" s="23">
        <v>20</v>
      </c>
      <c r="B39" s="23">
        <v>2000</v>
      </c>
      <c r="C39" s="288">
        <v>100</v>
      </c>
      <c r="D39" s="288">
        <v>84.5</v>
      </c>
      <c r="E39" s="289">
        <v>77</v>
      </c>
      <c r="F39" s="23">
        <v>76</v>
      </c>
      <c r="G39" s="23">
        <v>72</v>
      </c>
      <c r="H39" s="23">
        <v>70</v>
      </c>
      <c r="I39" s="23">
        <v>67</v>
      </c>
      <c r="J39" s="23">
        <v>64</v>
      </c>
      <c r="K39" s="23">
        <v>61</v>
      </c>
      <c r="L39" s="23">
        <v>58</v>
      </c>
      <c r="M39" s="23">
        <v>56</v>
      </c>
      <c r="N39" s="23">
        <v>53</v>
      </c>
      <c r="O39" s="23">
        <v>51</v>
      </c>
      <c r="P39" s="23">
        <v>48</v>
      </c>
      <c r="Q39" s="23">
        <v>46</v>
      </c>
      <c r="R39" s="290">
        <v>43</v>
      </c>
      <c r="S39" s="23">
        <v>90</v>
      </c>
      <c r="T39" s="23">
        <v>88</v>
      </c>
      <c r="U39" s="23">
        <v>84</v>
      </c>
      <c r="V39" s="23">
        <v>81</v>
      </c>
      <c r="W39" s="23">
        <v>78</v>
      </c>
      <c r="X39" s="23">
        <v>74</v>
      </c>
      <c r="Y39" s="23">
        <v>71</v>
      </c>
      <c r="Z39" s="23">
        <v>68</v>
      </c>
      <c r="AA39" s="23">
        <v>65</v>
      </c>
      <c r="AB39" s="23">
        <v>62</v>
      </c>
      <c r="AC39" s="23">
        <v>59</v>
      </c>
      <c r="AD39" s="23">
        <v>56</v>
      </c>
      <c r="AE39" s="23">
        <v>53</v>
      </c>
      <c r="AF39" s="23">
        <v>50</v>
      </c>
    </row>
    <row r="40" spans="1:32" x14ac:dyDescent="0.25">
      <c r="A40" s="23">
        <v>30</v>
      </c>
      <c r="B40" s="23">
        <v>2000</v>
      </c>
      <c r="C40" s="288">
        <v>91.5</v>
      </c>
      <c r="D40" s="288">
        <v>75.5</v>
      </c>
      <c r="E40" s="289">
        <v>77</v>
      </c>
      <c r="F40" s="23">
        <v>76</v>
      </c>
      <c r="G40" s="23">
        <v>73</v>
      </c>
      <c r="H40" s="23">
        <v>70</v>
      </c>
      <c r="I40" s="23">
        <v>67</v>
      </c>
      <c r="J40" s="23">
        <v>64</v>
      </c>
      <c r="K40" s="23">
        <v>62</v>
      </c>
      <c r="L40" s="23">
        <v>59</v>
      </c>
      <c r="M40" s="23">
        <v>56</v>
      </c>
      <c r="N40" s="23">
        <v>54</v>
      </c>
      <c r="O40" s="23">
        <v>51</v>
      </c>
      <c r="P40" s="23">
        <v>48</v>
      </c>
      <c r="Q40" s="23">
        <v>46</v>
      </c>
      <c r="R40" s="290">
        <v>43</v>
      </c>
      <c r="S40" s="23">
        <v>90</v>
      </c>
      <c r="T40" s="23">
        <v>89</v>
      </c>
      <c r="U40" s="23">
        <v>85</v>
      </c>
      <c r="V40" s="23">
        <v>82</v>
      </c>
      <c r="W40" s="23">
        <v>78</v>
      </c>
      <c r="X40" s="23">
        <v>75</v>
      </c>
      <c r="Y40" s="23">
        <v>71</v>
      </c>
      <c r="Z40" s="23">
        <v>68</v>
      </c>
      <c r="AA40" s="23">
        <v>65</v>
      </c>
      <c r="AB40" s="23">
        <v>62</v>
      </c>
      <c r="AC40" s="23">
        <v>59</v>
      </c>
      <c r="AD40" s="23">
        <v>56</v>
      </c>
      <c r="AE40" s="23">
        <v>53</v>
      </c>
      <c r="AF40" s="23">
        <v>50</v>
      </c>
    </row>
    <row r="41" spans="1:32" x14ac:dyDescent="0.25">
      <c r="A41" s="23">
        <v>40</v>
      </c>
      <c r="B41" s="23">
        <v>2000</v>
      </c>
      <c r="C41" s="288">
        <v>82.5</v>
      </c>
      <c r="D41" s="288">
        <v>65</v>
      </c>
      <c r="E41" s="289">
        <v>78</v>
      </c>
      <c r="F41" s="23">
        <v>77</v>
      </c>
      <c r="G41" s="23">
        <v>74</v>
      </c>
      <c r="H41" s="23">
        <v>70</v>
      </c>
      <c r="I41" s="23">
        <v>68</v>
      </c>
      <c r="J41" s="23">
        <v>65</v>
      </c>
      <c r="K41" s="23">
        <v>62</v>
      </c>
      <c r="L41" s="23">
        <v>59</v>
      </c>
      <c r="M41" s="23">
        <v>56</v>
      </c>
      <c r="N41" s="23">
        <v>54</v>
      </c>
      <c r="O41" s="23">
        <v>52</v>
      </c>
      <c r="P41" s="23">
        <v>48</v>
      </c>
      <c r="Q41" s="23">
        <v>46</v>
      </c>
      <c r="R41" s="290">
        <v>44</v>
      </c>
      <c r="S41" s="23">
        <v>91</v>
      </c>
      <c r="T41" s="23">
        <v>89</v>
      </c>
      <c r="U41" s="23">
        <v>86</v>
      </c>
      <c r="V41" s="23">
        <v>82</v>
      </c>
      <c r="W41" s="23">
        <v>79</v>
      </c>
      <c r="X41" s="23">
        <v>75</v>
      </c>
      <c r="Y41" s="23">
        <v>72</v>
      </c>
      <c r="Z41" s="23">
        <v>69</v>
      </c>
      <c r="AA41" s="23">
        <v>65</v>
      </c>
      <c r="AB41" s="23">
        <v>62</v>
      </c>
      <c r="AC41" s="23">
        <v>59</v>
      </c>
      <c r="AD41" s="23">
        <v>56</v>
      </c>
      <c r="AE41" s="23">
        <v>53</v>
      </c>
      <c r="AF41" s="23">
        <v>50</v>
      </c>
    </row>
    <row r="42" spans="1:32" x14ac:dyDescent="0.25">
      <c r="A42" s="23">
        <v>0</v>
      </c>
      <c r="B42" s="23">
        <v>3000</v>
      </c>
      <c r="C42" s="288">
        <v>108.5</v>
      </c>
      <c r="D42" s="288">
        <v>99</v>
      </c>
      <c r="E42" s="289">
        <v>76</v>
      </c>
      <c r="F42" s="23">
        <v>75</v>
      </c>
      <c r="G42" s="23">
        <v>72</v>
      </c>
      <c r="H42" s="23">
        <v>70</v>
      </c>
      <c r="I42" s="23">
        <v>66</v>
      </c>
      <c r="J42" s="23">
        <v>64</v>
      </c>
      <c r="K42" s="23">
        <v>61</v>
      </c>
      <c r="L42" s="23">
        <v>58</v>
      </c>
      <c r="M42" s="23">
        <v>56</v>
      </c>
      <c r="N42" s="23">
        <v>54</v>
      </c>
      <c r="O42" s="23">
        <v>50</v>
      </c>
      <c r="P42" s="23">
        <v>48</v>
      </c>
      <c r="Q42" s="23">
        <v>46</v>
      </c>
      <c r="R42" s="290">
        <v>43</v>
      </c>
      <c r="S42" s="23">
        <v>89</v>
      </c>
      <c r="T42" s="23">
        <v>87</v>
      </c>
      <c r="U42" s="23">
        <v>84</v>
      </c>
      <c r="V42" s="23">
        <v>80</v>
      </c>
      <c r="W42" s="23">
        <v>77</v>
      </c>
      <c r="X42" s="23">
        <v>74</v>
      </c>
      <c r="Y42" s="23">
        <v>71</v>
      </c>
      <c r="Z42" s="23">
        <v>67</v>
      </c>
      <c r="AA42" s="23">
        <v>65</v>
      </c>
      <c r="AB42" s="23">
        <v>62</v>
      </c>
      <c r="AC42" s="23">
        <v>58</v>
      </c>
      <c r="AD42" s="23">
        <v>56</v>
      </c>
      <c r="AE42" s="23">
        <v>53</v>
      </c>
      <c r="AF42" s="23">
        <v>50</v>
      </c>
    </row>
    <row r="43" spans="1:32" x14ac:dyDescent="0.25">
      <c r="A43" s="23">
        <v>10</v>
      </c>
      <c r="B43" s="23">
        <v>3000</v>
      </c>
      <c r="C43" s="288">
        <v>103.5</v>
      </c>
      <c r="D43" s="288">
        <v>90</v>
      </c>
      <c r="E43" s="289">
        <v>77</v>
      </c>
      <c r="F43" s="23">
        <v>76</v>
      </c>
      <c r="G43" s="23">
        <v>72</v>
      </c>
      <c r="H43" s="23">
        <v>70</v>
      </c>
      <c r="I43" s="23">
        <v>67</v>
      </c>
      <c r="J43" s="23">
        <v>64</v>
      </c>
      <c r="K43" s="23">
        <v>61</v>
      </c>
      <c r="L43" s="23">
        <v>58</v>
      </c>
      <c r="M43" s="23">
        <v>56</v>
      </c>
      <c r="N43" s="23">
        <v>53</v>
      </c>
      <c r="O43" s="23">
        <v>51</v>
      </c>
      <c r="P43" s="23">
        <v>48</v>
      </c>
      <c r="Q43" s="23">
        <v>46</v>
      </c>
      <c r="R43" s="290">
        <v>44</v>
      </c>
      <c r="S43" s="23">
        <v>89</v>
      </c>
      <c r="T43" s="23">
        <v>88</v>
      </c>
      <c r="U43" s="23">
        <v>84</v>
      </c>
      <c r="V43" s="23">
        <v>81</v>
      </c>
      <c r="W43" s="23">
        <v>73</v>
      </c>
      <c r="X43" s="23">
        <v>74</v>
      </c>
      <c r="Y43" s="23">
        <v>71</v>
      </c>
      <c r="Z43" s="23">
        <v>68</v>
      </c>
      <c r="AA43" s="23">
        <v>65</v>
      </c>
      <c r="AB43" s="23">
        <v>62</v>
      </c>
      <c r="AC43" s="23">
        <v>59</v>
      </c>
      <c r="AD43" s="23">
        <v>56</v>
      </c>
      <c r="AE43" s="23">
        <v>53</v>
      </c>
      <c r="AF43" s="23">
        <v>50</v>
      </c>
    </row>
    <row r="44" spans="1:32" x14ac:dyDescent="0.25">
      <c r="A44" s="23">
        <v>20</v>
      </c>
      <c r="B44" s="23">
        <v>3000</v>
      </c>
      <c r="C44" s="288">
        <v>96</v>
      </c>
      <c r="D44" s="288">
        <v>81</v>
      </c>
      <c r="E44" s="289">
        <v>78</v>
      </c>
      <c r="F44" s="23">
        <v>76</v>
      </c>
      <c r="G44" s="23">
        <v>73</v>
      </c>
      <c r="H44" s="23">
        <v>70</v>
      </c>
      <c r="I44" s="23">
        <v>67</v>
      </c>
      <c r="J44" s="23">
        <v>64</v>
      </c>
      <c r="K44" s="23">
        <v>62</v>
      </c>
      <c r="L44" s="23">
        <v>59</v>
      </c>
      <c r="M44" s="23">
        <v>56</v>
      </c>
      <c r="N44" s="23">
        <v>54</v>
      </c>
      <c r="O44" s="23">
        <v>51</v>
      </c>
      <c r="P44" s="23">
        <v>48</v>
      </c>
      <c r="Q44" s="23">
        <v>46</v>
      </c>
      <c r="R44" s="290">
        <v>44</v>
      </c>
      <c r="S44" s="23">
        <v>90</v>
      </c>
      <c r="T44" s="23">
        <v>89</v>
      </c>
      <c r="U44" s="23">
        <v>85</v>
      </c>
      <c r="V44" s="23">
        <v>82</v>
      </c>
      <c r="W44" s="23">
        <v>78</v>
      </c>
      <c r="X44" s="23">
        <v>75</v>
      </c>
      <c r="Y44" s="23">
        <v>71</v>
      </c>
      <c r="Z44" s="23">
        <v>68</v>
      </c>
      <c r="AA44" s="23">
        <v>65</v>
      </c>
      <c r="AB44" s="23">
        <v>62</v>
      </c>
      <c r="AC44" s="23">
        <v>59</v>
      </c>
      <c r="AD44" s="23">
        <v>56</v>
      </c>
      <c r="AE44" s="23">
        <v>53</v>
      </c>
      <c r="AF44" s="23">
        <v>50</v>
      </c>
    </row>
    <row r="45" spans="1:32" x14ac:dyDescent="0.25">
      <c r="A45" s="23">
        <v>30</v>
      </c>
      <c r="B45" s="23">
        <v>3000</v>
      </c>
      <c r="C45" s="288">
        <v>88</v>
      </c>
      <c r="D45" s="288">
        <v>72.5</v>
      </c>
      <c r="E45" s="289">
        <v>78</v>
      </c>
      <c r="F45" s="23">
        <v>77</v>
      </c>
      <c r="G45" s="23">
        <v>74</v>
      </c>
      <c r="H45" s="23">
        <v>71</v>
      </c>
      <c r="I45" s="23">
        <v>68</v>
      </c>
      <c r="J45" s="23">
        <v>65</v>
      </c>
      <c r="K45" s="23">
        <v>62</v>
      </c>
      <c r="L45" s="23">
        <v>59</v>
      </c>
      <c r="M45" s="23">
        <v>57</v>
      </c>
      <c r="N45" s="23">
        <v>54</v>
      </c>
      <c r="O45" s="23">
        <v>51</v>
      </c>
      <c r="P45" s="23">
        <v>48</v>
      </c>
      <c r="Q45" s="23">
        <v>46</v>
      </c>
      <c r="R45" s="290">
        <v>44</v>
      </c>
      <c r="S45" s="23">
        <v>91</v>
      </c>
      <c r="T45" s="23">
        <v>90</v>
      </c>
      <c r="U45" s="23">
        <v>86</v>
      </c>
      <c r="V45" s="23">
        <v>83</v>
      </c>
      <c r="W45" s="23">
        <v>79</v>
      </c>
      <c r="X45" s="23">
        <v>75</v>
      </c>
      <c r="Y45" s="23">
        <v>72</v>
      </c>
      <c r="Z45" s="23">
        <v>69</v>
      </c>
      <c r="AA45" s="23">
        <v>66</v>
      </c>
      <c r="AB45" s="23">
        <v>62</v>
      </c>
      <c r="AC45" s="23">
        <v>59</v>
      </c>
      <c r="AD45" s="23">
        <v>56</v>
      </c>
      <c r="AE45" s="23">
        <v>53</v>
      </c>
      <c r="AF45" s="23">
        <v>51</v>
      </c>
    </row>
    <row r="46" spans="1:32" x14ac:dyDescent="0.25">
      <c r="A46" s="23">
        <v>40</v>
      </c>
      <c r="B46" s="23">
        <v>3000</v>
      </c>
      <c r="C46" s="288">
        <v>79</v>
      </c>
      <c r="D46" s="288">
        <v>62</v>
      </c>
      <c r="E46" s="289">
        <v>79</v>
      </c>
      <c r="F46" s="23">
        <v>78</v>
      </c>
      <c r="G46" s="23">
        <v>74</v>
      </c>
      <c r="H46" s="23">
        <v>71</v>
      </c>
      <c r="I46" s="23">
        <v>69</v>
      </c>
      <c r="J46" s="23">
        <v>66</v>
      </c>
      <c r="K46" s="23">
        <v>63</v>
      </c>
      <c r="L46" s="23">
        <v>60</v>
      </c>
      <c r="M46" s="23">
        <v>57</v>
      </c>
      <c r="N46" s="23">
        <v>54</v>
      </c>
      <c r="O46" s="23">
        <v>52</v>
      </c>
      <c r="P46" s="23">
        <v>49</v>
      </c>
      <c r="Q46" s="23">
        <v>46</v>
      </c>
      <c r="R46" s="290">
        <v>44</v>
      </c>
      <c r="S46" s="23">
        <v>92</v>
      </c>
      <c r="T46" s="23">
        <v>90</v>
      </c>
      <c r="U46" s="23">
        <v>87</v>
      </c>
      <c r="V46" s="23">
        <v>83</v>
      </c>
      <c r="W46" s="23">
        <v>80</v>
      </c>
      <c r="X46" s="23">
        <v>76</v>
      </c>
      <c r="Y46" s="23">
        <v>73</v>
      </c>
      <c r="Z46" s="23">
        <v>69</v>
      </c>
      <c r="AA46" s="23">
        <v>66</v>
      </c>
      <c r="AB46" s="23">
        <v>63</v>
      </c>
      <c r="AC46" s="23">
        <v>59</v>
      </c>
      <c r="AD46" s="23">
        <v>57</v>
      </c>
      <c r="AE46" s="23">
        <v>53</v>
      </c>
      <c r="AF46" s="23">
        <v>51</v>
      </c>
    </row>
    <row r="48" spans="1:32" x14ac:dyDescent="0.25">
      <c r="F48" s="157" t="s">
        <v>229</v>
      </c>
      <c r="T48" s="157" t="s">
        <v>230</v>
      </c>
    </row>
    <row r="49" spans="1:33" x14ac:dyDescent="0.25">
      <c r="C49" t="s">
        <v>330</v>
      </c>
      <c r="D49" t="s">
        <v>313</v>
      </c>
      <c r="E49" t="s">
        <v>312</v>
      </c>
      <c r="F49" t="s">
        <v>530</v>
      </c>
      <c r="G49" t="s">
        <v>531</v>
      </c>
      <c r="H49" t="s">
        <v>532</v>
      </c>
      <c r="I49" t="s">
        <v>533</v>
      </c>
      <c r="J49" t="s">
        <v>534</v>
      </c>
      <c r="K49" t="s">
        <v>535</v>
      </c>
      <c r="L49" t="s">
        <v>536</v>
      </c>
      <c r="M49" t="s">
        <v>537</v>
      </c>
      <c r="N49" t="s">
        <v>538</v>
      </c>
      <c r="O49" t="s">
        <v>539</v>
      </c>
      <c r="P49" t="s">
        <v>540</v>
      </c>
      <c r="Q49" t="s">
        <v>541</v>
      </c>
      <c r="R49" t="s">
        <v>542</v>
      </c>
      <c r="S49" t="s">
        <v>543</v>
      </c>
      <c r="T49" t="s">
        <v>544</v>
      </c>
      <c r="U49" t="s">
        <v>545</v>
      </c>
      <c r="V49" t="s">
        <v>546</v>
      </c>
      <c r="W49" t="s">
        <v>547</v>
      </c>
      <c r="X49" t="s">
        <v>548</v>
      </c>
      <c r="Y49" t="s">
        <v>549</v>
      </c>
      <c r="Z49" t="s">
        <v>550</v>
      </c>
      <c r="AA49" t="s">
        <v>551</v>
      </c>
      <c r="AB49" t="s">
        <v>552</v>
      </c>
      <c r="AC49" t="s">
        <v>553</v>
      </c>
      <c r="AD49" t="s">
        <v>554</v>
      </c>
      <c r="AE49" t="s">
        <v>555</v>
      </c>
      <c r="AF49" t="s">
        <v>556</v>
      </c>
      <c r="AG49" t="s">
        <v>557</v>
      </c>
    </row>
    <row r="50" spans="1:33" x14ac:dyDescent="0.25">
      <c r="B50" t="s">
        <v>558</v>
      </c>
      <c r="C50" s="23">
        <f>ROUNDDOWN('Start Here'!$B$26,-1)</f>
        <v>0</v>
      </c>
      <c r="D50" s="288">
        <f>VLOOKUP($C50,$A$27:$AF$31,C$1,FALSE)</f>
        <v>108.5</v>
      </c>
      <c r="E50" s="288">
        <f t="shared" ref="E50:AG50" si="0">VLOOKUP($C50,$A$27:$AF$31,D$1,FALSE)</f>
        <v>100</v>
      </c>
      <c r="F50" s="23">
        <f t="shared" si="0"/>
        <v>74</v>
      </c>
      <c r="G50" s="23">
        <f t="shared" si="0"/>
        <v>73</v>
      </c>
      <c r="H50" s="23">
        <f t="shared" si="0"/>
        <v>70</v>
      </c>
      <c r="I50" s="23">
        <f t="shared" si="0"/>
        <v>68</v>
      </c>
      <c r="J50" s="23">
        <f t="shared" si="0"/>
        <v>65</v>
      </c>
      <c r="K50" s="23">
        <f t="shared" si="0"/>
        <v>62</v>
      </c>
      <c r="L50" s="23">
        <f t="shared" si="0"/>
        <v>60</v>
      </c>
      <c r="M50" s="23">
        <f t="shared" si="0"/>
        <v>58</v>
      </c>
      <c r="N50" s="23">
        <f t="shared" si="0"/>
        <v>55</v>
      </c>
      <c r="O50" s="23">
        <f t="shared" si="0"/>
        <v>52</v>
      </c>
      <c r="P50" s="23">
        <f t="shared" si="0"/>
        <v>50</v>
      </c>
      <c r="Q50" s="23">
        <f t="shared" si="0"/>
        <v>48</v>
      </c>
      <c r="R50" s="23">
        <f t="shared" si="0"/>
        <v>45</v>
      </c>
      <c r="S50" s="23">
        <f t="shared" si="0"/>
        <v>43</v>
      </c>
      <c r="T50" s="23">
        <f t="shared" si="0"/>
        <v>87</v>
      </c>
      <c r="U50" s="23">
        <f t="shared" si="0"/>
        <v>85</v>
      </c>
      <c r="V50" s="23">
        <f t="shared" si="0"/>
        <v>82</v>
      </c>
      <c r="W50" s="23">
        <f t="shared" si="0"/>
        <v>79</v>
      </c>
      <c r="X50" s="23">
        <f t="shared" si="0"/>
        <v>76</v>
      </c>
      <c r="Y50" s="23">
        <f t="shared" si="0"/>
        <v>73</v>
      </c>
      <c r="Z50" s="23">
        <f t="shared" si="0"/>
        <v>70</v>
      </c>
      <c r="AA50" s="23">
        <f t="shared" si="0"/>
        <v>67</v>
      </c>
      <c r="AB50" s="23">
        <f t="shared" si="0"/>
        <v>64</v>
      </c>
      <c r="AC50" s="23">
        <f t="shared" si="0"/>
        <v>61</v>
      </c>
      <c r="AD50" s="23">
        <f t="shared" si="0"/>
        <v>58</v>
      </c>
      <c r="AE50" s="23">
        <f t="shared" si="0"/>
        <v>55</v>
      </c>
      <c r="AF50" s="23">
        <f t="shared" si="0"/>
        <v>53</v>
      </c>
      <c r="AG50" s="23">
        <f t="shared" si="0"/>
        <v>50</v>
      </c>
    </row>
    <row r="51" spans="1:33" x14ac:dyDescent="0.25">
      <c r="B51" t="s">
        <v>326</v>
      </c>
      <c r="C51" s="23">
        <f>ROUNDUP('Start Here'!$B$26,-1)</f>
        <v>0</v>
      </c>
      <c r="D51" s="288">
        <f>VLOOKUP($C51,$A$27:$AF$31,C$1,FALSE)</f>
        <v>108.5</v>
      </c>
      <c r="E51" s="288">
        <f t="shared" ref="E51:AG51" si="1">VLOOKUP($C51,$A$27:$AF$31,D$1,FALSE)</f>
        <v>100</v>
      </c>
      <c r="F51" s="23">
        <f t="shared" si="1"/>
        <v>74</v>
      </c>
      <c r="G51" s="23">
        <f t="shared" si="1"/>
        <v>73</v>
      </c>
      <c r="H51" s="23">
        <f t="shared" si="1"/>
        <v>70</v>
      </c>
      <c r="I51" s="23">
        <f t="shared" si="1"/>
        <v>68</v>
      </c>
      <c r="J51" s="23">
        <f t="shared" si="1"/>
        <v>65</v>
      </c>
      <c r="K51" s="23">
        <f t="shared" si="1"/>
        <v>62</v>
      </c>
      <c r="L51" s="23">
        <f t="shared" si="1"/>
        <v>60</v>
      </c>
      <c r="M51" s="23">
        <f t="shared" si="1"/>
        <v>58</v>
      </c>
      <c r="N51" s="23">
        <f t="shared" si="1"/>
        <v>55</v>
      </c>
      <c r="O51" s="23">
        <f t="shared" si="1"/>
        <v>52</v>
      </c>
      <c r="P51" s="23">
        <f t="shared" si="1"/>
        <v>50</v>
      </c>
      <c r="Q51" s="23">
        <f t="shared" si="1"/>
        <v>48</v>
      </c>
      <c r="R51" s="23">
        <f t="shared" si="1"/>
        <v>45</v>
      </c>
      <c r="S51" s="23">
        <f t="shared" si="1"/>
        <v>43</v>
      </c>
      <c r="T51" s="23">
        <f t="shared" si="1"/>
        <v>87</v>
      </c>
      <c r="U51" s="23">
        <f t="shared" si="1"/>
        <v>85</v>
      </c>
      <c r="V51" s="23">
        <f t="shared" si="1"/>
        <v>82</v>
      </c>
      <c r="W51" s="23">
        <f t="shared" si="1"/>
        <v>79</v>
      </c>
      <c r="X51" s="23">
        <f t="shared" si="1"/>
        <v>76</v>
      </c>
      <c r="Y51" s="23">
        <f t="shared" si="1"/>
        <v>73</v>
      </c>
      <c r="Z51" s="23">
        <f t="shared" si="1"/>
        <v>70</v>
      </c>
      <c r="AA51" s="23">
        <f t="shared" si="1"/>
        <v>67</v>
      </c>
      <c r="AB51" s="23">
        <f t="shared" si="1"/>
        <v>64</v>
      </c>
      <c r="AC51" s="23">
        <f t="shared" si="1"/>
        <v>61</v>
      </c>
      <c r="AD51" s="23">
        <f t="shared" si="1"/>
        <v>58</v>
      </c>
      <c r="AE51" s="23">
        <f t="shared" si="1"/>
        <v>55</v>
      </c>
      <c r="AF51" s="23">
        <f t="shared" si="1"/>
        <v>53</v>
      </c>
      <c r="AG51" s="23">
        <f t="shared" si="1"/>
        <v>50</v>
      </c>
    </row>
    <row r="52" spans="1:33" x14ac:dyDescent="0.25">
      <c r="A52" s="23">
        <v>0</v>
      </c>
      <c r="B52" t="s">
        <v>329</v>
      </c>
      <c r="C52" s="291">
        <f>'Start Here'!$B$26</f>
        <v>0</v>
      </c>
      <c r="D52" s="292">
        <f>((D51-D50)/(10))*($C$52-$C$50)+D50</f>
        <v>108.5</v>
      </c>
      <c r="E52" s="292">
        <f t="shared" ref="E52:AG52" si="2">((E51-E50)/(10))*($C$52-$C$50)+E50</f>
        <v>100</v>
      </c>
      <c r="F52" s="293">
        <f t="shared" si="2"/>
        <v>74</v>
      </c>
      <c r="G52" s="293">
        <f t="shared" si="2"/>
        <v>73</v>
      </c>
      <c r="H52" s="293">
        <f t="shared" si="2"/>
        <v>70</v>
      </c>
      <c r="I52" s="293">
        <f t="shared" si="2"/>
        <v>68</v>
      </c>
      <c r="J52" s="293">
        <f t="shared" si="2"/>
        <v>65</v>
      </c>
      <c r="K52" s="293">
        <f t="shared" si="2"/>
        <v>62</v>
      </c>
      <c r="L52" s="293">
        <f t="shared" si="2"/>
        <v>60</v>
      </c>
      <c r="M52" s="293">
        <f t="shared" si="2"/>
        <v>58</v>
      </c>
      <c r="N52" s="293">
        <f t="shared" si="2"/>
        <v>55</v>
      </c>
      <c r="O52" s="293">
        <f t="shared" si="2"/>
        <v>52</v>
      </c>
      <c r="P52" s="293">
        <f t="shared" si="2"/>
        <v>50</v>
      </c>
      <c r="Q52" s="293">
        <f t="shared" si="2"/>
        <v>48</v>
      </c>
      <c r="R52" s="293">
        <f t="shared" si="2"/>
        <v>45</v>
      </c>
      <c r="S52" s="293">
        <f t="shared" si="2"/>
        <v>43</v>
      </c>
      <c r="T52" s="293">
        <f t="shared" si="2"/>
        <v>87</v>
      </c>
      <c r="U52" s="293">
        <f t="shared" si="2"/>
        <v>85</v>
      </c>
      <c r="V52" s="293">
        <f t="shared" si="2"/>
        <v>82</v>
      </c>
      <c r="W52" s="293">
        <f t="shared" si="2"/>
        <v>79</v>
      </c>
      <c r="X52" s="293">
        <f t="shared" si="2"/>
        <v>76</v>
      </c>
      <c r="Y52" s="293">
        <f t="shared" si="2"/>
        <v>73</v>
      </c>
      <c r="Z52" s="293">
        <f t="shared" si="2"/>
        <v>70</v>
      </c>
      <c r="AA52" s="293">
        <f t="shared" si="2"/>
        <v>67</v>
      </c>
      <c r="AB52" s="293">
        <f t="shared" si="2"/>
        <v>64</v>
      </c>
      <c r="AC52" s="293">
        <f t="shared" si="2"/>
        <v>61</v>
      </c>
      <c r="AD52" s="293">
        <f t="shared" si="2"/>
        <v>58</v>
      </c>
      <c r="AE52" s="293">
        <f t="shared" si="2"/>
        <v>55</v>
      </c>
      <c r="AF52" s="293">
        <f t="shared" si="2"/>
        <v>53</v>
      </c>
      <c r="AG52" s="293">
        <f t="shared" si="2"/>
        <v>50</v>
      </c>
    </row>
    <row r="53" spans="1:33" x14ac:dyDescent="0.25">
      <c r="B53" t="s">
        <v>558</v>
      </c>
      <c r="C53" s="23">
        <f>ROUNDDOWN('Start Here'!$B$26,-1)</f>
        <v>0</v>
      </c>
      <c r="D53" s="288">
        <f>VLOOKUP($C53,$A$32:$AF$36,C$1,FALSE)</f>
        <v>108.5</v>
      </c>
      <c r="E53" s="288">
        <f t="shared" ref="E53:AG53" si="3">VLOOKUP($C53,$A$32:$AF$36,D$1,FALSE)</f>
        <v>100</v>
      </c>
      <c r="F53" s="23">
        <f t="shared" si="3"/>
        <v>75</v>
      </c>
      <c r="G53" s="23">
        <f t="shared" si="3"/>
        <v>74</v>
      </c>
      <c r="H53" s="23">
        <f t="shared" si="3"/>
        <v>71</v>
      </c>
      <c r="I53" s="23">
        <f t="shared" si="3"/>
        <v>68</v>
      </c>
      <c r="J53" s="23">
        <f t="shared" si="3"/>
        <v>65</v>
      </c>
      <c r="K53" s="23">
        <f t="shared" si="3"/>
        <v>62</v>
      </c>
      <c r="L53" s="23">
        <f t="shared" si="3"/>
        <v>60</v>
      </c>
      <c r="M53" s="23">
        <f t="shared" si="3"/>
        <v>58</v>
      </c>
      <c r="N53" s="23">
        <f t="shared" si="3"/>
        <v>55</v>
      </c>
      <c r="O53" s="23">
        <f t="shared" si="3"/>
        <v>52</v>
      </c>
      <c r="P53" s="23">
        <f t="shared" si="3"/>
        <v>50</v>
      </c>
      <c r="Q53" s="23">
        <f t="shared" si="3"/>
        <v>48</v>
      </c>
      <c r="R53" s="23">
        <f t="shared" si="3"/>
        <v>45</v>
      </c>
      <c r="S53" s="23">
        <f t="shared" si="3"/>
        <v>43</v>
      </c>
      <c r="T53" s="23">
        <f t="shared" si="3"/>
        <v>87</v>
      </c>
      <c r="U53" s="23">
        <f t="shared" si="3"/>
        <v>86</v>
      </c>
      <c r="V53" s="23">
        <f t="shared" si="3"/>
        <v>83</v>
      </c>
      <c r="W53" s="23">
        <f t="shared" si="3"/>
        <v>79</v>
      </c>
      <c r="X53" s="23">
        <f t="shared" si="3"/>
        <v>76</v>
      </c>
      <c r="Y53" s="23">
        <f t="shared" si="3"/>
        <v>73</v>
      </c>
      <c r="Z53" s="23">
        <f t="shared" si="3"/>
        <v>70</v>
      </c>
      <c r="AA53" s="23">
        <f t="shared" si="3"/>
        <v>67</v>
      </c>
      <c r="AB53" s="23">
        <f t="shared" si="3"/>
        <v>64</v>
      </c>
      <c r="AC53" s="23">
        <f t="shared" si="3"/>
        <v>61</v>
      </c>
      <c r="AD53" s="23">
        <f t="shared" si="3"/>
        <v>58</v>
      </c>
      <c r="AE53" s="23">
        <f t="shared" si="3"/>
        <v>55</v>
      </c>
      <c r="AF53" s="23">
        <f t="shared" si="3"/>
        <v>53</v>
      </c>
      <c r="AG53" s="23">
        <f t="shared" si="3"/>
        <v>50</v>
      </c>
    </row>
    <row r="54" spans="1:33" x14ac:dyDescent="0.25">
      <c r="B54" t="s">
        <v>326</v>
      </c>
      <c r="C54" s="23">
        <f>ROUNDUP('Start Here'!$B$26,-1)</f>
        <v>0</v>
      </c>
      <c r="D54" s="288">
        <f>VLOOKUP($C54,$A$32:$AF$36,C$1,FALSE)</f>
        <v>108.5</v>
      </c>
      <c r="E54" s="288">
        <f t="shared" ref="E54:AG54" si="4">VLOOKUP($C54,$A$32:$AF$36,D$1,FALSE)</f>
        <v>100</v>
      </c>
      <c r="F54" s="23">
        <f t="shared" si="4"/>
        <v>75</v>
      </c>
      <c r="G54" s="23">
        <f t="shared" si="4"/>
        <v>74</v>
      </c>
      <c r="H54" s="23">
        <f t="shared" si="4"/>
        <v>71</v>
      </c>
      <c r="I54" s="23">
        <f t="shared" si="4"/>
        <v>68</v>
      </c>
      <c r="J54" s="23">
        <f t="shared" si="4"/>
        <v>65</v>
      </c>
      <c r="K54" s="23">
        <f t="shared" si="4"/>
        <v>62</v>
      </c>
      <c r="L54" s="23">
        <f t="shared" si="4"/>
        <v>60</v>
      </c>
      <c r="M54" s="23">
        <f t="shared" si="4"/>
        <v>58</v>
      </c>
      <c r="N54" s="23">
        <f t="shared" si="4"/>
        <v>55</v>
      </c>
      <c r="O54" s="23">
        <f t="shared" si="4"/>
        <v>52</v>
      </c>
      <c r="P54" s="23">
        <f t="shared" si="4"/>
        <v>50</v>
      </c>
      <c r="Q54" s="23">
        <f t="shared" si="4"/>
        <v>48</v>
      </c>
      <c r="R54" s="23">
        <f t="shared" si="4"/>
        <v>45</v>
      </c>
      <c r="S54" s="23">
        <f t="shared" si="4"/>
        <v>43</v>
      </c>
      <c r="T54" s="23">
        <f t="shared" si="4"/>
        <v>87</v>
      </c>
      <c r="U54" s="23">
        <f t="shared" si="4"/>
        <v>86</v>
      </c>
      <c r="V54" s="23">
        <f t="shared" si="4"/>
        <v>83</v>
      </c>
      <c r="W54" s="23">
        <f t="shared" si="4"/>
        <v>79</v>
      </c>
      <c r="X54" s="23">
        <f t="shared" si="4"/>
        <v>76</v>
      </c>
      <c r="Y54" s="23">
        <f t="shared" si="4"/>
        <v>73</v>
      </c>
      <c r="Z54" s="23">
        <f t="shared" si="4"/>
        <v>70</v>
      </c>
      <c r="AA54" s="23">
        <f t="shared" si="4"/>
        <v>67</v>
      </c>
      <c r="AB54" s="23">
        <f t="shared" si="4"/>
        <v>64</v>
      </c>
      <c r="AC54" s="23">
        <f t="shared" si="4"/>
        <v>61</v>
      </c>
      <c r="AD54" s="23">
        <f t="shared" si="4"/>
        <v>58</v>
      </c>
      <c r="AE54" s="23">
        <f t="shared" si="4"/>
        <v>55</v>
      </c>
      <c r="AF54" s="23">
        <f t="shared" si="4"/>
        <v>53</v>
      </c>
      <c r="AG54" s="23">
        <f t="shared" si="4"/>
        <v>50</v>
      </c>
    </row>
    <row r="55" spans="1:33" x14ac:dyDescent="0.25">
      <c r="A55" s="23">
        <v>1000</v>
      </c>
      <c r="B55" t="s">
        <v>329</v>
      </c>
      <c r="C55" s="291">
        <f>'Start Here'!$B$26</f>
        <v>0</v>
      </c>
      <c r="D55" s="292">
        <f>((D54-D53)/(10))*($C$55-$C$53)+D53</f>
        <v>108.5</v>
      </c>
      <c r="E55" s="292">
        <f t="shared" ref="E55:AG55" si="5">((E54-E53)/(10))*($C$55-$C$53)+E53</f>
        <v>100</v>
      </c>
      <c r="F55" s="293">
        <f t="shared" si="5"/>
        <v>75</v>
      </c>
      <c r="G55" s="293">
        <f t="shared" si="5"/>
        <v>74</v>
      </c>
      <c r="H55" s="293">
        <f t="shared" si="5"/>
        <v>71</v>
      </c>
      <c r="I55" s="293">
        <f t="shared" si="5"/>
        <v>68</v>
      </c>
      <c r="J55" s="293">
        <f t="shared" si="5"/>
        <v>65</v>
      </c>
      <c r="K55" s="293">
        <f t="shared" si="5"/>
        <v>62</v>
      </c>
      <c r="L55" s="293">
        <f t="shared" si="5"/>
        <v>60</v>
      </c>
      <c r="M55" s="293">
        <f t="shared" si="5"/>
        <v>58</v>
      </c>
      <c r="N55" s="293">
        <f t="shared" si="5"/>
        <v>55</v>
      </c>
      <c r="O55" s="293">
        <f t="shared" si="5"/>
        <v>52</v>
      </c>
      <c r="P55" s="293">
        <f t="shared" si="5"/>
        <v>50</v>
      </c>
      <c r="Q55" s="293">
        <f t="shared" si="5"/>
        <v>48</v>
      </c>
      <c r="R55" s="293">
        <f t="shared" si="5"/>
        <v>45</v>
      </c>
      <c r="S55" s="293">
        <f t="shared" si="5"/>
        <v>43</v>
      </c>
      <c r="T55" s="293">
        <f t="shared" si="5"/>
        <v>87</v>
      </c>
      <c r="U55" s="293">
        <f t="shared" si="5"/>
        <v>86</v>
      </c>
      <c r="V55" s="293">
        <f t="shared" si="5"/>
        <v>83</v>
      </c>
      <c r="W55" s="293">
        <f t="shared" si="5"/>
        <v>79</v>
      </c>
      <c r="X55" s="293">
        <f t="shared" si="5"/>
        <v>76</v>
      </c>
      <c r="Y55" s="293">
        <f t="shared" si="5"/>
        <v>73</v>
      </c>
      <c r="Z55" s="293">
        <f t="shared" si="5"/>
        <v>70</v>
      </c>
      <c r="AA55" s="293">
        <f t="shared" si="5"/>
        <v>67</v>
      </c>
      <c r="AB55" s="293">
        <f t="shared" si="5"/>
        <v>64</v>
      </c>
      <c r="AC55" s="293">
        <f t="shared" si="5"/>
        <v>61</v>
      </c>
      <c r="AD55" s="293">
        <f t="shared" si="5"/>
        <v>58</v>
      </c>
      <c r="AE55" s="293">
        <f t="shared" si="5"/>
        <v>55</v>
      </c>
      <c r="AF55" s="293">
        <f t="shared" si="5"/>
        <v>53</v>
      </c>
      <c r="AG55" s="293">
        <f t="shared" si="5"/>
        <v>50</v>
      </c>
    </row>
    <row r="56" spans="1:33" x14ac:dyDescent="0.25">
      <c r="B56" t="s">
        <v>558</v>
      </c>
      <c r="C56" s="23">
        <f>ROUNDDOWN('Start Here'!$B$26,-1)</f>
        <v>0</v>
      </c>
      <c r="D56" s="288">
        <f>VLOOKUP($C56,$A$37:$AF$41,C$1,FALSE)</f>
        <v>108.5</v>
      </c>
      <c r="E56" s="288">
        <f t="shared" ref="E56:AG56" si="6">VLOOKUP($C56,$A$37:$AF$41,D$1,FALSE)</f>
        <v>100</v>
      </c>
      <c r="F56" s="23">
        <f t="shared" si="6"/>
        <v>76</v>
      </c>
      <c r="G56" s="23">
        <f t="shared" si="6"/>
        <v>74</v>
      </c>
      <c r="H56" s="23">
        <f t="shared" si="6"/>
        <v>72</v>
      </c>
      <c r="I56" s="23">
        <f t="shared" si="6"/>
        <v>68</v>
      </c>
      <c r="J56" s="23">
        <f t="shared" si="6"/>
        <v>66</v>
      </c>
      <c r="K56" s="23">
        <f t="shared" si="6"/>
        <v>63</v>
      </c>
      <c r="L56" s="23">
        <f t="shared" si="6"/>
        <v>61</v>
      </c>
      <c r="M56" s="23">
        <f t="shared" si="6"/>
        <v>58</v>
      </c>
      <c r="N56" s="23">
        <f t="shared" si="6"/>
        <v>55</v>
      </c>
      <c r="O56" s="23">
        <f t="shared" si="6"/>
        <v>52</v>
      </c>
      <c r="P56" s="23">
        <f t="shared" si="6"/>
        <v>50</v>
      </c>
      <c r="Q56" s="23">
        <f t="shared" si="6"/>
        <v>48</v>
      </c>
      <c r="R56" s="23">
        <f t="shared" si="6"/>
        <v>46</v>
      </c>
      <c r="S56" s="23">
        <f t="shared" si="6"/>
        <v>43</v>
      </c>
      <c r="T56" s="23">
        <f t="shared" si="6"/>
        <v>88</v>
      </c>
      <c r="U56" s="23">
        <f t="shared" si="6"/>
        <v>87</v>
      </c>
      <c r="V56" s="23">
        <f t="shared" si="6"/>
        <v>83</v>
      </c>
      <c r="W56" s="23">
        <f t="shared" si="6"/>
        <v>80</v>
      </c>
      <c r="X56" s="23">
        <f t="shared" si="6"/>
        <v>77</v>
      </c>
      <c r="Y56" s="23">
        <f t="shared" si="6"/>
        <v>73</v>
      </c>
      <c r="Z56" s="23">
        <f t="shared" si="6"/>
        <v>70</v>
      </c>
      <c r="AA56" s="23">
        <f t="shared" si="6"/>
        <v>67</v>
      </c>
      <c r="AB56" s="23">
        <f t="shared" si="6"/>
        <v>64</v>
      </c>
      <c r="AC56" s="23">
        <f t="shared" si="6"/>
        <v>61</v>
      </c>
      <c r="AD56" s="23">
        <f t="shared" si="6"/>
        <v>58</v>
      </c>
      <c r="AE56" s="23">
        <f t="shared" si="6"/>
        <v>56</v>
      </c>
      <c r="AF56" s="23">
        <f t="shared" si="6"/>
        <v>53</v>
      </c>
      <c r="AG56" s="23">
        <f t="shared" si="6"/>
        <v>50</v>
      </c>
    </row>
    <row r="57" spans="1:33" x14ac:dyDescent="0.25">
      <c r="B57" t="s">
        <v>326</v>
      </c>
      <c r="C57" s="23">
        <f>ROUNDUP('Start Here'!$B$26,-1)</f>
        <v>0</v>
      </c>
      <c r="D57" s="288">
        <f>VLOOKUP($C57,$A$37:$AF$41,C$1,FALSE)</f>
        <v>108.5</v>
      </c>
      <c r="E57" s="288">
        <f t="shared" ref="E57:AG57" si="7">VLOOKUP($C57,$A$37:$AF$41,D$1,FALSE)</f>
        <v>100</v>
      </c>
      <c r="F57" s="23">
        <f t="shared" si="7"/>
        <v>76</v>
      </c>
      <c r="G57" s="23">
        <f t="shared" si="7"/>
        <v>74</v>
      </c>
      <c r="H57" s="23">
        <f t="shared" si="7"/>
        <v>72</v>
      </c>
      <c r="I57" s="23">
        <f t="shared" si="7"/>
        <v>68</v>
      </c>
      <c r="J57" s="23">
        <f t="shared" si="7"/>
        <v>66</v>
      </c>
      <c r="K57" s="23">
        <f t="shared" si="7"/>
        <v>63</v>
      </c>
      <c r="L57" s="23">
        <f t="shared" si="7"/>
        <v>61</v>
      </c>
      <c r="M57" s="23">
        <f t="shared" si="7"/>
        <v>58</v>
      </c>
      <c r="N57" s="23">
        <f t="shared" si="7"/>
        <v>55</v>
      </c>
      <c r="O57" s="23">
        <f t="shared" si="7"/>
        <v>52</v>
      </c>
      <c r="P57" s="23">
        <f t="shared" si="7"/>
        <v>50</v>
      </c>
      <c r="Q57" s="23">
        <f t="shared" si="7"/>
        <v>48</v>
      </c>
      <c r="R57" s="23">
        <f t="shared" si="7"/>
        <v>46</v>
      </c>
      <c r="S57" s="23">
        <f t="shared" si="7"/>
        <v>43</v>
      </c>
      <c r="T57" s="23">
        <f t="shared" si="7"/>
        <v>88</v>
      </c>
      <c r="U57" s="23">
        <f t="shared" si="7"/>
        <v>87</v>
      </c>
      <c r="V57" s="23">
        <f t="shared" si="7"/>
        <v>83</v>
      </c>
      <c r="W57" s="23">
        <f t="shared" si="7"/>
        <v>80</v>
      </c>
      <c r="X57" s="23">
        <f t="shared" si="7"/>
        <v>77</v>
      </c>
      <c r="Y57" s="23">
        <f t="shared" si="7"/>
        <v>73</v>
      </c>
      <c r="Z57" s="23">
        <f t="shared" si="7"/>
        <v>70</v>
      </c>
      <c r="AA57" s="23">
        <f t="shared" si="7"/>
        <v>67</v>
      </c>
      <c r="AB57" s="23">
        <f t="shared" si="7"/>
        <v>64</v>
      </c>
      <c r="AC57" s="23">
        <f t="shared" si="7"/>
        <v>61</v>
      </c>
      <c r="AD57" s="23">
        <f t="shared" si="7"/>
        <v>58</v>
      </c>
      <c r="AE57" s="23">
        <f t="shared" si="7"/>
        <v>56</v>
      </c>
      <c r="AF57" s="23">
        <f t="shared" si="7"/>
        <v>53</v>
      </c>
      <c r="AG57" s="23">
        <f t="shared" si="7"/>
        <v>50</v>
      </c>
    </row>
    <row r="58" spans="1:33" x14ac:dyDescent="0.25">
      <c r="A58" s="23">
        <v>2000</v>
      </c>
      <c r="B58" t="s">
        <v>329</v>
      </c>
      <c r="C58" s="291">
        <f>'Start Here'!$B$26</f>
        <v>0</v>
      </c>
      <c r="D58" s="292">
        <f>((D57-D56)/(10))*($C$58-$C$56)+D56</f>
        <v>108.5</v>
      </c>
      <c r="E58" s="292">
        <f t="shared" ref="E58:AG58" si="8">((E57-E56)/(10))*($C$58-$C$56)+E56</f>
        <v>100</v>
      </c>
      <c r="F58" s="293">
        <f t="shared" si="8"/>
        <v>76</v>
      </c>
      <c r="G58" s="293">
        <f t="shared" si="8"/>
        <v>74</v>
      </c>
      <c r="H58" s="293">
        <f t="shared" si="8"/>
        <v>72</v>
      </c>
      <c r="I58" s="293">
        <f t="shared" si="8"/>
        <v>68</v>
      </c>
      <c r="J58" s="293">
        <f t="shared" si="8"/>
        <v>66</v>
      </c>
      <c r="K58" s="293">
        <f t="shared" si="8"/>
        <v>63</v>
      </c>
      <c r="L58" s="293">
        <f t="shared" si="8"/>
        <v>61</v>
      </c>
      <c r="M58" s="293">
        <f t="shared" si="8"/>
        <v>58</v>
      </c>
      <c r="N58" s="293">
        <f t="shared" si="8"/>
        <v>55</v>
      </c>
      <c r="O58" s="293">
        <f t="shared" si="8"/>
        <v>52</v>
      </c>
      <c r="P58" s="293">
        <f t="shared" si="8"/>
        <v>50</v>
      </c>
      <c r="Q58" s="293">
        <f t="shared" si="8"/>
        <v>48</v>
      </c>
      <c r="R58" s="293">
        <f t="shared" si="8"/>
        <v>46</v>
      </c>
      <c r="S58" s="293">
        <f t="shared" si="8"/>
        <v>43</v>
      </c>
      <c r="T58" s="293">
        <f t="shared" si="8"/>
        <v>88</v>
      </c>
      <c r="U58" s="293">
        <f t="shared" si="8"/>
        <v>87</v>
      </c>
      <c r="V58" s="293">
        <f t="shared" si="8"/>
        <v>83</v>
      </c>
      <c r="W58" s="293">
        <f t="shared" si="8"/>
        <v>80</v>
      </c>
      <c r="X58" s="293">
        <f t="shared" si="8"/>
        <v>77</v>
      </c>
      <c r="Y58" s="293">
        <f t="shared" si="8"/>
        <v>73</v>
      </c>
      <c r="Z58" s="293">
        <f t="shared" si="8"/>
        <v>70</v>
      </c>
      <c r="AA58" s="293">
        <f t="shared" si="8"/>
        <v>67</v>
      </c>
      <c r="AB58" s="293">
        <f t="shared" si="8"/>
        <v>64</v>
      </c>
      <c r="AC58" s="293">
        <f t="shared" si="8"/>
        <v>61</v>
      </c>
      <c r="AD58" s="293">
        <f t="shared" si="8"/>
        <v>58</v>
      </c>
      <c r="AE58" s="293">
        <f t="shared" si="8"/>
        <v>56</v>
      </c>
      <c r="AF58" s="293">
        <f t="shared" si="8"/>
        <v>53</v>
      </c>
      <c r="AG58" s="293">
        <f t="shared" si="8"/>
        <v>50</v>
      </c>
    </row>
    <row r="59" spans="1:33" x14ac:dyDescent="0.25">
      <c r="B59" t="s">
        <v>558</v>
      </c>
      <c r="C59" s="23">
        <f>ROUNDDOWN('Start Here'!$B$26,-1)</f>
        <v>0</v>
      </c>
      <c r="D59" s="288">
        <f>VLOOKUP($C59,$A$42:$AF$46,C$1,FALSE)</f>
        <v>108.5</v>
      </c>
      <c r="E59" s="288">
        <f t="shared" ref="E59:AG59" si="9">VLOOKUP($C59,$A$42:$AF$46,D$1,FALSE)</f>
        <v>99</v>
      </c>
      <c r="F59" s="23">
        <f t="shared" si="9"/>
        <v>76</v>
      </c>
      <c r="G59" s="23">
        <f t="shared" si="9"/>
        <v>75</v>
      </c>
      <c r="H59" s="23">
        <f t="shared" si="9"/>
        <v>72</v>
      </c>
      <c r="I59" s="23">
        <f t="shared" si="9"/>
        <v>70</v>
      </c>
      <c r="J59" s="23">
        <f t="shared" si="9"/>
        <v>66</v>
      </c>
      <c r="K59" s="23">
        <f t="shared" si="9"/>
        <v>64</v>
      </c>
      <c r="L59" s="23">
        <f t="shared" si="9"/>
        <v>61</v>
      </c>
      <c r="M59" s="23">
        <f t="shared" si="9"/>
        <v>58</v>
      </c>
      <c r="N59" s="23">
        <f t="shared" si="9"/>
        <v>56</v>
      </c>
      <c r="O59" s="23">
        <f t="shared" si="9"/>
        <v>54</v>
      </c>
      <c r="P59" s="23">
        <f t="shared" si="9"/>
        <v>50</v>
      </c>
      <c r="Q59" s="23">
        <f t="shared" si="9"/>
        <v>48</v>
      </c>
      <c r="R59" s="23">
        <f t="shared" si="9"/>
        <v>46</v>
      </c>
      <c r="S59" s="23">
        <f t="shared" si="9"/>
        <v>43</v>
      </c>
      <c r="T59" s="23">
        <f t="shared" si="9"/>
        <v>89</v>
      </c>
      <c r="U59" s="23">
        <f t="shared" si="9"/>
        <v>87</v>
      </c>
      <c r="V59" s="23">
        <f t="shared" si="9"/>
        <v>84</v>
      </c>
      <c r="W59" s="23">
        <f t="shared" si="9"/>
        <v>80</v>
      </c>
      <c r="X59" s="23">
        <f t="shared" si="9"/>
        <v>77</v>
      </c>
      <c r="Y59" s="23">
        <f t="shared" si="9"/>
        <v>74</v>
      </c>
      <c r="Z59" s="23">
        <f t="shared" si="9"/>
        <v>71</v>
      </c>
      <c r="AA59" s="23">
        <f t="shared" si="9"/>
        <v>67</v>
      </c>
      <c r="AB59" s="23">
        <f t="shared" si="9"/>
        <v>65</v>
      </c>
      <c r="AC59" s="23">
        <f t="shared" si="9"/>
        <v>62</v>
      </c>
      <c r="AD59" s="23">
        <f t="shared" si="9"/>
        <v>58</v>
      </c>
      <c r="AE59" s="23">
        <f t="shared" si="9"/>
        <v>56</v>
      </c>
      <c r="AF59" s="23">
        <f t="shared" si="9"/>
        <v>53</v>
      </c>
      <c r="AG59" s="23">
        <f t="shared" si="9"/>
        <v>50</v>
      </c>
    </row>
    <row r="60" spans="1:33" x14ac:dyDescent="0.25">
      <c r="B60" t="s">
        <v>326</v>
      </c>
      <c r="C60" s="23">
        <f>ROUNDUP('Start Here'!$B$26,-1)</f>
        <v>0</v>
      </c>
      <c r="D60" s="288">
        <f>VLOOKUP($C60,$A$42:$AF$46,C$1,FALSE)</f>
        <v>108.5</v>
      </c>
      <c r="E60" s="288">
        <f t="shared" ref="E60:AG60" si="10">VLOOKUP($C60,$A$42:$AF$46,D$1,FALSE)</f>
        <v>99</v>
      </c>
      <c r="F60" s="23">
        <f t="shared" si="10"/>
        <v>76</v>
      </c>
      <c r="G60" s="23">
        <f t="shared" si="10"/>
        <v>75</v>
      </c>
      <c r="H60" s="23">
        <f t="shared" si="10"/>
        <v>72</v>
      </c>
      <c r="I60" s="23">
        <f t="shared" si="10"/>
        <v>70</v>
      </c>
      <c r="J60" s="23">
        <f t="shared" si="10"/>
        <v>66</v>
      </c>
      <c r="K60" s="23">
        <f t="shared" si="10"/>
        <v>64</v>
      </c>
      <c r="L60" s="23">
        <f t="shared" si="10"/>
        <v>61</v>
      </c>
      <c r="M60" s="23">
        <f t="shared" si="10"/>
        <v>58</v>
      </c>
      <c r="N60" s="23">
        <f t="shared" si="10"/>
        <v>56</v>
      </c>
      <c r="O60" s="23">
        <f t="shared" si="10"/>
        <v>54</v>
      </c>
      <c r="P60" s="23">
        <f t="shared" si="10"/>
        <v>50</v>
      </c>
      <c r="Q60" s="23">
        <f t="shared" si="10"/>
        <v>48</v>
      </c>
      <c r="R60" s="23">
        <f t="shared" si="10"/>
        <v>46</v>
      </c>
      <c r="S60" s="23">
        <f t="shared" si="10"/>
        <v>43</v>
      </c>
      <c r="T60" s="23">
        <f t="shared" si="10"/>
        <v>89</v>
      </c>
      <c r="U60" s="23">
        <f t="shared" si="10"/>
        <v>87</v>
      </c>
      <c r="V60" s="23">
        <f t="shared" si="10"/>
        <v>84</v>
      </c>
      <c r="W60" s="23">
        <f t="shared" si="10"/>
        <v>80</v>
      </c>
      <c r="X60" s="23">
        <f t="shared" si="10"/>
        <v>77</v>
      </c>
      <c r="Y60" s="23">
        <f t="shared" si="10"/>
        <v>74</v>
      </c>
      <c r="Z60" s="23">
        <f t="shared" si="10"/>
        <v>71</v>
      </c>
      <c r="AA60" s="23">
        <f t="shared" si="10"/>
        <v>67</v>
      </c>
      <c r="AB60" s="23">
        <f t="shared" si="10"/>
        <v>65</v>
      </c>
      <c r="AC60" s="23">
        <f t="shared" si="10"/>
        <v>62</v>
      </c>
      <c r="AD60" s="23">
        <f t="shared" si="10"/>
        <v>58</v>
      </c>
      <c r="AE60" s="23">
        <f t="shared" si="10"/>
        <v>56</v>
      </c>
      <c r="AF60" s="23">
        <f t="shared" si="10"/>
        <v>53</v>
      </c>
      <c r="AG60" s="23">
        <f t="shared" si="10"/>
        <v>50</v>
      </c>
    </row>
    <row r="61" spans="1:33" x14ac:dyDescent="0.25">
      <c r="A61" s="23">
        <v>3000</v>
      </c>
      <c r="B61" t="s">
        <v>329</v>
      </c>
      <c r="C61" s="291">
        <f>'Start Here'!$B$26</f>
        <v>0</v>
      </c>
      <c r="D61" s="292">
        <f>((D60-D59)/(10))*($C$61-$C$59)+D59</f>
        <v>108.5</v>
      </c>
      <c r="E61" s="292">
        <f t="shared" ref="E61:AG61" si="11">((E60-E59)/(10))*($C$61-$C$59)+E59</f>
        <v>99</v>
      </c>
      <c r="F61" s="293">
        <f t="shared" si="11"/>
        <v>76</v>
      </c>
      <c r="G61" s="293">
        <f t="shared" si="11"/>
        <v>75</v>
      </c>
      <c r="H61" s="293">
        <f t="shared" si="11"/>
        <v>72</v>
      </c>
      <c r="I61" s="293">
        <f t="shared" si="11"/>
        <v>70</v>
      </c>
      <c r="J61" s="293">
        <f t="shared" si="11"/>
        <v>66</v>
      </c>
      <c r="K61" s="293">
        <f t="shared" si="11"/>
        <v>64</v>
      </c>
      <c r="L61" s="293">
        <f t="shared" si="11"/>
        <v>61</v>
      </c>
      <c r="M61" s="293">
        <f t="shared" si="11"/>
        <v>58</v>
      </c>
      <c r="N61" s="293">
        <f t="shared" si="11"/>
        <v>56</v>
      </c>
      <c r="O61" s="293">
        <f t="shared" si="11"/>
        <v>54</v>
      </c>
      <c r="P61" s="293">
        <f t="shared" si="11"/>
        <v>50</v>
      </c>
      <c r="Q61" s="293">
        <f t="shared" si="11"/>
        <v>48</v>
      </c>
      <c r="R61" s="293">
        <f t="shared" si="11"/>
        <v>46</v>
      </c>
      <c r="S61" s="293">
        <f t="shared" si="11"/>
        <v>43</v>
      </c>
      <c r="T61" s="293">
        <f t="shared" si="11"/>
        <v>89</v>
      </c>
      <c r="U61" s="293">
        <f t="shared" si="11"/>
        <v>87</v>
      </c>
      <c r="V61" s="293">
        <f t="shared" si="11"/>
        <v>84</v>
      </c>
      <c r="W61" s="293">
        <f t="shared" si="11"/>
        <v>80</v>
      </c>
      <c r="X61" s="293">
        <f t="shared" si="11"/>
        <v>77</v>
      </c>
      <c r="Y61" s="293">
        <f t="shared" si="11"/>
        <v>74</v>
      </c>
      <c r="Z61" s="293">
        <f t="shared" si="11"/>
        <v>71</v>
      </c>
      <c r="AA61" s="293">
        <f t="shared" si="11"/>
        <v>67</v>
      </c>
      <c r="AB61" s="293">
        <f t="shared" si="11"/>
        <v>65</v>
      </c>
      <c r="AC61" s="293">
        <f t="shared" si="11"/>
        <v>62</v>
      </c>
      <c r="AD61" s="293">
        <f t="shared" si="11"/>
        <v>58</v>
      </c>
      <c r="AE61" s="293">
        <f t="shared" si="11"/>
        <v>56</v>
      </c>
      <c r="AF61" s="293">
        <f t="shared" si="11"/>
        <v>53</v>
      </c>
      <c r="AG61" s="293">
        <f t="shared" si="11"/>
        <v>50</v>
      </c>
    </row>
    <row r="62" spans="1:33" x14ac:dyDescent="0.25">
      <c r="A62" s="23"/>
      <c r="C62" s="23"/>
      <c r="D62" s="288"/>
      <c r="E62" s="288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</row>
    <row r="63" spans="1:33" x14ac:dyDescent="0.25">
      <c r="H63" s="294"/>
      <c r="I63" s="295"/>
      <c r="J63" s="295" t="s">
        <v>562</v>
      </c>
      <c r="K63" s="295" t="s">
        <v>563</v>
      </c>
      <c r="L63" s="296" t="s">
        <v>564</v>
      </c>
    </row>
    <row r="64" spans="1:33" x14ac:dyDescent="0.25">
      <c r="H64" s="297"/>
      <c r="J64" t="e">
        <f>IF(L64&gt;4000,FLOOR(L64,200),3803)</f>
        <v>#VALUE!</v>
      </c>
      <c r="K64" t="e">
        <f>IF(L64&gt;6200,6283,CEILING(L64,200))</f>
        <v>#VALUE!</v>
      </c>
      <c r="L64" s="300" t="e">
        <f>'Performance Calculations'!$D$4</f>
        <v>#VALUE!</v>
      </c>
    </row>
    <row r="65" spans="1:12" x14ac:dyDescent="0.25">
      <c r="D65" t="s">
        <v>559</v>
      </c>
      <c r="E65" t="s">
        <v>560</v>
      </c>
      <c r="F65" t="s">
        <v>561</v>
      </c>
      <c r="H65" s="297" t="s">
        <v>224</v>
      </c>
      <c r="I65" t="s">
        <v>569</v>
      </c>
      <c r="J65" t="e">
        <f>VLOOKUP(J64,$C$69:$F$82,4,FALSE)</f>
        <v>#VALUE!</v>
      </c>
      <c r="K65" t="e">
        <f>VLOOKUP(K64,$C$69:$F$82,4,FALSE)</f>
        <v>#VALUE!</v>
      </c>
      <c r="L65" s="303" t="e">
        <f>((K65-J65)/($K$64-$J$64))*($L$64-J64)+J65</f>
        <v>#VALUE!</v>
      </c>
    </row>
    <row r="66" spans="1:12" x14ac:dyDescent="0.25">
      <c r="D66" s="23">
        <f>ROUNDDOWN($F$66,-3)</f>
        <v>0</v>
      </c>
      <c r="E66" s="23">
        <f>ROUNDUP($F$66,-3)</f>
        <v>0</v>
      </c>
      <c r="F66" s="291">
        <f>IF('Start Here'!$B$32&lt;0,0,'Start Here'!$B$32)</f>
        <v>0</v>
      </c>
      <c r="H66" s="298"/>
      <c r="I66" s="299" t="s">
        <v>570</v>
      </c>
      <c r="J66" t="e">
        <f>VLOOKUP(J64,$C$83:$F$96,4,FALSE)</f>
        <v>#VALUE!</v>
      </c>
      <c r="K66" s="23" t="e">
        <f>VLOOKUP(K64,$C$83:$F$96,4,FALSE)</f>
        <v>#VALUE!</v>
      </c>
      <c r="L66" s="303" t="e">
        <f>((K66-J66)/($K$64-$J$64))*($L$64-$J$64)+J66</f>
        <v>#VALUE!</v>
      </c>
    </row>
    <row r="67" spans="1:12" x14ac:dyDescent="0.25">
      <c r="B67">
        <v>4</v>
      </c>
      <c r="C67" t="s">
        <v>567</v>
      </c>
      <c r="D67" s="288">
        <f>VLOOKUP($D$66,$A$50:$AG$61,$B67,FALSE)</f>
        <v>108.5</v>
      </c>
      <c r="E67" s="288">
        <f>VLOOKUP($E$66,$A$50:$AG$61,$B67,FALSE)</f>
        <v>108.5</v>
      </c>
      <c r="F67" s="301">
        <f>MROUND(((D67-E67)/1000)*($F$66-$D$66)+E67,0.5)</f>
        <v>108.5</v>
      </c>
      <c r="H67" s="294"/>
      <c r="I67" s="295"/>
      <c r="J67" s="295" t="s">
        <v>562</v>
      </c>
      <c r="K67" s="295" t="s">
        <v>563</v>
      </c>
      <c r="L67" s="296" t="s">
        <v>564</v>
      </c>
    </row>
    <row r="68" spans="1:12" x14ac:dyDescent="0.25">
      <c r="B68">
        <v>5</v>
      </c>
      <c r="C68" t="s">
        <v>568</v>
      </c>
      <c r="D68" s="288">
        <f t="shared" ref="D68:D96" si="12">VLOOKUP($D$66,$A$50:$AG$61,$B68,FALSE)</f>
        <v>100</v>
      </c>
      <c r="E68" s="288">
        <f t="shared" ref="E68:E96" si="13">VLOOKUP($E$66,$A$50:$AG$61,$B68,FALSE)</f>
        <v>100</v>
      </c>
      <c r="F68" s="301">
        <f>MROUND(((D68-E68)/1000)*($F$66-$D$66)+E68,0.5)</f>
        <v>100</v>
      </c>
      <c r="H68" s="297"/>
      <c r="J68" t="e">
        <f>IF(L68&gt;4000,FLOOR(L68,200),3803)</f>
        <v>#VALUE!</v>
      </c>
      <c r="K68" t="e">
        <f>IF(L68&gt;6200,6283,CEILING(L68,200))</f>
        <v>#VALUE!</v>
      </c>
      <c r="L68" s="300" t="e">
        <f>'Performance Calculations'!$D$5</f>
        <v>#VALUE!</v>
      </c>
    </row>
    <row r="69" spans="1:12" x14ac:dyDescent="0.25">
      <c r="A69" s="157" t="s">
        <v>229</v>
      </c>
      <c r="B69">
        <v>6</v>
      </c>
      <c r="C69">
        <v>6283</v>
      </c>
      <c r="D69" s="23">
        <f t="shared" si="12"/>
        <v>74</v>
      </c>
      <c r="E69" s="23">
        <f t="shared" si="13"/>
        <v>74</v>
      </c>
      <c r="F69" s="23">
        <f t="shared" ref="F69:F96" si="14">((D69-E69)/1000)*($F$66-$D$66)+E69</f>
        <v>74</v>
      </c>
      <c r="H69" s="297" t="s">
        <v>249</v>
      </c>
      <c r="I69" t="s">
        <v>569</v>
      </c>
      <c r="J69" s="23" t="e">
        <f>VLOOKUP(J68,$C$69:$F$82,4,FALSE)</f>
        <v>#VALUE!</v>
      </c>
      <c r="K69" s="23" t="e">
        <f>VLOOKUP(K68,$C$69:$F$82,4,FALSE)</f>
        <v>#VALUE!</v>
      </c>
      <c r="L69" s="303" t="e">
        <f>((K69-J69)/($K$68-$J$68))*($L$68-J68)+J69</f>
        <v>#VALUE!</v>
      </c>
    </row>
    <row r="70" spans="1:12" x14ac:dyDescent="0.25">
      <c r="B70">
        <v>7</v>
      </c>
      <c r="C70">
        <v>6200</v>
      </c>
      <c r="D70" s="23">
        <f t="shared" si="12"/>
        <v>73</v>
      </c>
      <c r="E70" s="23">
        <f t="shared" si="13"/>
        <v>73</v>
      </c>
      <c r="F70" s="23">
        <f t="shared" si="14"/>
        <v>73</v>
      </c>
      <c r="H70" s="298"/>
      <c r="I70" s="299" t="s">
        <v>570</v>
      </c>
      <c r="J70" s="23" t="e">
        <f>VLOOKUP(J68,$C$83:$F$96,4,FALSE)</f>
        <v>#VALUE!</v>
      </c>
      <c r="K70" s="23" t="e">
        <f>VLOOKUP(K68,$C$83:$F$96,4,FALSE)</f>
        <v>#VALUE!</v>
      </c>
      <c r="L70" s="303" t="e">
        <f>((K70-J70)/($K$68-$J$68))*($L$68-$J$68)+J70</f>
        <v>#VALUE!</v>
      </c>
    </row>
    <row r="71" spans="1:12" x14ac:dyDescent="0.25">
      <c r="B71">
        <v>8</v>
      </c>
      <c r="C71">
        <v>6000</v>
      </c>
      <c r="D71" s="23">
        <f t="shared" si="12"/>
        <v>70</v>
      </c>
      <c r="E71" s="23">
        <f t="shared" si="13"/>
        <v>70</v>
      </c>
      <c r="F71" s="23">
        <f t="shared" si="14"/>
        <v>70</v>
      </c>
      <c r="H71" s="294"/>
      <c r="I71" s="295"/>
      <c r="J71" s="295" t="s">
        <v>562</v>
      </c>
      <c r="K71" s="295" t="s">
        <v>563</v>
      </c>
      <c r="L71" s="296" t="s">
        <v>564</v>
      </c>
    </row>
    <row r="72" spans="1:12" x14ac:dyDescent="0.25">
      <c r="B72">
        <v>9</v>
      </c>
      <c r="C72">
        <v>5800</v>
      </c>
      <c r="D72" s="23">
        <f t="shared" si="12"/>
        <v>68</v>
      </c>
      <c r="E72" s="23">
        <f t="shared" si="13"/>
        <v>68</v>
      </c>
      <c r="F72" s="23">
        <f t="shared" si="14"/>
        <v>68</v>
      </c>
      <c r="H72" s="297"/>
      <c r="J72" t="e">
        <f>IF(L72&gt;4000,FLOOR(L72,200),3803)</f>
        <v>#VALUE!</v>
      </c>
      <c r="K72" t="e">
        <f>IF(L72&gt;6200,6283,CEILING(L72,200))</f>
        <v>#VALUE!</v>
      </c>
      <c r="L72" s="300" t="e">
        <f>'Performance Calculations'!$D$6</f>
        <v>#VALUE!</v>
      </c>
    </row>
    <row r="73" spans="1:12" x14ac:dyDescent="0.25">
      <c r="B73">
        <v>10</v>
      </c>
      <c r="C73">
        <v>5600</v>
      </c>
      <c r="D73" s="23">
        <f t="shared" si="12"/>
        <v>65</v>
      </c>
      <c r="E73" s="23">
        <f t="shared" si="13"/>
        <v>65</v>
      </c>
      <c r="F73" s="23">
        <f t="shared" si="14"/>
        <v>65</v>
      </c>
      <c r="H73" s="298" t="s">
        <v>322</v>
      </c>
      <c r="I73" s="299" t="s">
        <v>570</v>
      </c>
      <c r="J73" s="23" t="e">
        <f>VLOOKUP(J72,$C$83:$F$96,4,FALSE)</f>
        <v>#VALUE!</v>
      </c>
      <c r="K73" s="23" t="e">
        <f>VLOOKUP(K72,$C$83:$F$96,4,FALSE)</f>
        <v>#VALUE!</v>
      </c>
      <c r="L73" s="303" t="e">
        <f>((K73-J73)/($K$72-$J$72))*($L$72-$J$72)+J73</f>
        <v>#VALUE!</v>
      </c>
    </row>
    <row r="74" spans="1:12" x14ac:dyDescent="0.25">
      <c r="B74">
        <v>11</v>
      </c>
      <c r="C74">
        <v>5400</v>
      </c>
      <c r="D74" s="23">
        <f t="shared" si="12"/>
        <v>62</v>
      </c>
      <c r="E74" s="23">
        <f t="shared" si="13"/>
        <v>62</v>
      </c>
      <c r="F74" s="23">
        <f t="shared" si="14"/>
        <v>62</v>
      </c>
      <c r="H74" s="294"/>
      <c r="I74" s="295"/>
      <c r="J74" s="295" t="s">
        <v>562</v>
      </c>
      <c r="K74" s="295" t="s">
        <v>563</v>
      </c>
      <c r="L74" s="296" t="s">
        <v>564</v>
      </c>
    </row>
    <row r="75" spans="1:12" x14ac:dyDescent="0.25">
      <c r="B75">
        <v>12</v>
      </c>
      <c r="C75">
        <v>5200</v>
      </c>
      <c r="D75" s="23">
        <f t="shared" si="12"/>
        <v>60</v>
      </c>
      <c r="E75" s="23">
        <f t="shared" si="13"/>
        <v>60</v>
      </c>
      <c r="F75" s="23">
        <f t="shared" si="14"/>
        <v>60</v>
      </c>
      <c r="H75" s="297"/>
      <c r="J75" t="e">
        <f>IF(L75&gt;4000,FLOOR(L75,200),3803)</f>
        <v>#VALUE!</v>
      </c>
      <c r="K75" t="e">
        <f>IF(L75&gt;6200,6283,CEILING(L75,200))</f>
        <v>#VALUE!</v>
      </c>
      <c r="L75" s="300" t="e">
        <f>'Performance Calculations'!$D$7</f>
        <v>#VALUE!</v>
      </c>
    </row>
    <row r="76" spans="1:12" x14ac:dyDescent="0.25">
      <c r="B76">
        <v>13</v>
      </c>
      <c r="C76">
        <v>5000</v>
      </c>
      <c r="D76" s="23">
        <f t="shared" si="12"/>
        <v>58</v>
      </c>
      <c r="E76" s="23">
        <f t="shared" si="13"/>
        <v>58</v>
      </c>
      <c r="F76" s="23">
        <f t="shared" si="14"/>
        <v>58</v>
      </c>
      <c r="H76" s="298" t="s">
        <v>321</v>
      </c>
      <c r="I76" s="299" t="s">
        <v>570</v>
      </c>
      <c r="J76" s="302" t="e">
        <f>VLOOKUP(J75,$C$83:$F$96,4,FALSE)</f>
        <v>#VALUE!</v>
      </c>
      <c r="K76" s="302" t="e">
        <f>VLOOKUP(K75,$C$83:$F$96,4,FALSE)</f>
        <v>#VALUE!</v>
      </c>
      <c r="L76" s="304" t="e">
        <f>((K76-J76)/($K$75-$J$75))*($L$75-$J$75)+J76</f>
        <v>#VALUE!</v>
      </c>
    </row>
    <row r="77" spans="1:12" x14ac:dyDescent="0.25">
      <c r="B77">
        <v>14</v>
      </c>
      <c r="C77">
        <v>4800</v>
      </c>
      <c r="D77" s="23">
        <f t="shared" si="12"/>
        <v>55</v>
      </c>
      <c r="E77" s="23">
        <f t="shared" si="13"/>
        <v>55</v>
      </c>
      <c r="F77" s="23">
        <f t="shared" si="14"/>
        <v>55</v>
      </c>
    </row>
    <row r="78" spans="1:12" x14ac:dyDescent="0.25">
      <c r="B78">
        <v>15</v>
      </c>
      <c r="C78">
        <v>4600</v>
      </c>
      <c r="D78" s="23">
        <f t="shared" si="12"/>
        <v>52</v>
      </c>
      <c r="E78" s="23">
        <f t="shared" si="13"/>
        <v>52</v>
      </c>
      <c r="F78" s="23">
        <f t="shared" si="14"/>
        <v>52</v>
      </c>
    </row>
    <row r="79" spans="1:12" x14ac:dyDescent="0.25">
      <c r="B79">
        <v>16</v>
      </c>
      <c r="C79">
        <v>4400</v>
      </c>
      <c r="D79" s="23">
        <f t="shared" si="12"/>
        <v>50</v>
      </c>
      <c r="E79" s="23">
        <f t="shared" si="13"/>
        <v>50</v>
      </c>
      <c r="F79" s="23">
        <f t="shared" si="14"/>
        <v>50</v>
      </c>
    </row>
    <row r="80" spans="1:12" x14ac:dyDescent="0.25">
      <c r="B80">
        <v>17</v>
      </c>
      <c r="C80">
        <v>4200</v>
      </c>
      <c r="D80" s="23">
        <f t="shared" si="12"/>
        <v>48</v>
      </c>
      <c r="E80" s="23">
        <f t="shared" si="13"/>
        <v>48</v>
      </c>
      <c r="F80" s="23">
        <f t="shared" si="14"/>
        <v>48</v>
      </c>
    </row>
    <row r="81" spans="1:6" x14ac:dyDescent="0.25">
      <c r="B81">
        <v>18</v>
      </c>
      <c r="C81">
        <v>4000</v>
      </c>
      <c r="D81" s="23">
        <f t="shared" si="12"/>
        <v>45</v>
      </c>
      <c r="E81" s="23">
        <f t="shared" si="13"/>
        <v>45</v>
      </c>
      <c r="F81" s="23">
        <f t="shared" si="14"/>
        <v>45</v>
      </c>
    </row>
    <row r="82" spans="1:6" x14ac:dyDescent="0.25">
      <c r="B82">
        <v>19</v>
      </c>
      <c r="C82">
        <v>3803</v>
      </c>
      <c r="D82" s="23">
        <f t="shared" si="12"/>
        <v>43</v>
      </c>
      <c r="E82" s="23">
        <f t="shared" si="13"/>
        <v>43</v>
      </c>
      <c r="F82" s="23">
        <f t="shared" si="14"/>
        <v>43</v>
      </c>
    </row>
    <row r="83" spans="1:6" x14ac:dyDescent="0.25">
      <c r="A83" s="157" t="s">
        <v>230</v>
      </c>
      <c r="B83">
        <v>20</v>
      </c>
      <c r="C83">
        <v>6283</v>
      </c>
      <c r="D83" s="23">
        <f t="shared" si="12"/>
        <v>87</v>
      </c>
      <c r="E83" s="23">
        <f t="shared" si="13"/>
        <v>87</v>
      </c>
      <c r="F83" s="23">
        <f t="shared" si="14"/>
        <v>87</v>
      </c>
    </row>
    <row r="84" spans="1:6" x14ac:dyDescent="0.25">
      <c r="B84">
        <v>21</v>
      </c>
      <c r="C84">
        <v>6200</v>
      </c>
      <c r="D84" s="23">
        <f t="shared" si="12"/>
        <v>85</v>
      </c>
      <c r="E84" s="23">
        <f t="shared" si="13"/>
        <v>85</v>
      </c>
      <c r="F84" s="23">
        <f t="shared" si="14"/>
        <v>85</v>
      </c>
    </row>
    <row r="85" spans="1:6" x14ac:dyDescent="0.25">
      <c r="B85">
        <v>22</v>
      </c>
      <c r="C85">
        <v>6000</v>
      </c>
      <c r="D85" s="23">
        <f t="shared" si="12"/>
        <v>82</v>
      </c>
      <c r="E85" s="23">
        <f t="shared" si="13"/>
        <v>82</v>
      </c>
      <c r="F85" s="23">
        <f t="shared" si="14"/>
        <v>82</v>
      </c>
    </row>
    <row r="86" spans="1:6" x14ac:dyDescent="0.25">
      <c r="B86">
        <v>23</v>
      </c>
      <c r="C86">
        <v>5800</v>
      </c>
      <c r="D86" s="23">
        <f t="shared" si="12"/>
        <v>79</v>
      </c>
      <c r="E86" s="23">
        <f t="shared" si="13"/>
        <v>79</v>
      </c>
      <c r="F86" s="23">
        <f t="shared" si="14"/>
        <v>79</v>
      </c>
    </row>
    <row r="87" spans="1:6" x14ac:dyDescent="0.25">
      <c r="B87">
        <v>24</v>
      </c>
      <c r="C87">
        <v>5600</v>
      </c>
      <c r="D87" s="23">
        <f t="shared" si="12"/>
        <v>76</v>
      </c>
      <c r="E87" s="23">
        <f t="shared" si="13"/>
        <v>76</v>
      </c>
      <c r="F87" s="23">
        <f t="shared" si="14"/>
        <v>76</v>
      </c>
    </row>
    <row r="88" spans="1:6" x14ac:dyDescent="0.25">
      <c r="B88">
        <v>25</v>
      </c>
      <c r="C88">
        <v>5400</v>
      </c>
      <c r="D88" s="23">
        <f t="shared" si="12"/>
        <v>73</v>
      </c>
      <c r="E88" s="23">
        <f t="shared" si="13"/>
        <v>73</v>
      </c>
      <c r="F88" s="23">
        <f t="shared" si="14"/>
        <v>73</v>
      </c>
    </row>
    <row r="89" spans="1:6" x14ac:dyDescent="0.25">
      <c r="B89">
        <v>26</v>
      </c>
      <c r="C89">
        <v>5200</v>
      </c>
      <c r="D89" s="23">
        <f t="shared" si="12"/>
        <v>70</v>
      </c>
      <c r="E89" s="23">
        <f t="shared" si="13"/>
        <v>70</v>
      </c>
      <c r="F89" s="23">
        <f t="shared" si="14"/>
        <v>70</v>
      </c>
    </row>
    <row r="90" spans="1:6" x14ac:dyDescent="0.25">
      <c r="B90">
        <v>27</v>
      </c>
      <c r="C90">
        <v>5000</v>
      </c>
      <c r="D90" s="23">
        <f t="shared" si="12"/>
        <v>67</v>
      </c>
      <c r="E90" s="23">
        <f t="shared" si="13"/>
        <v>67</v>
      </c>
      <c r="F90" s="23">
        <f t="shared" si="14"/>
        <v>67</v>
      </c>
    </row>
    <row r="91" spans="1:6" x14ac:dyDescent="0.25">
      <c r="B91">
        <v>28</v>
      </c>
      <c r="C91">
        <v>4800</v>
      </c>
      <c r="D91" s="23">
        <f t="shared" si="12"/>
        <v>64</v>
      </c>
      <c r="E91" s="23">
        <f t="shared" si="13"/>
        <v>64</v>
      </c>
      <c r="F91" s="23">
        <f t="shared" si="14"/>
        <v>64</v>
      </c>
    </row>
    <row r="92" spans="1:6" x14ac:dyDescent="0.25">
      <c r="B92">
        <v>29</v>
      </c>
      <c r="C92">
        <v>4600</v>
      </c>
      <c r="D92" s="23">
        <f t="shared" si="12"/>
        <v>61</v>
      </c>
      <c r="E92" s="23">
        <f t="shared" si="13"/>
        <v>61</v>
      </c>
      <c r="F92" s="23">
        <f t="shared" si="14"/>
        <v>61</v>
      </c>
    </row>
    <row r="93" spans="1:6" x14ac:dyDescent="0.25">
      <c r="B93">
        <v>30</v>
      </c>
      <c r="C93">
        <v>4400</v>
      </c>
      <c r="D93" s="23">
        <f t="shared" si="12"/>
        <v>58</v>
      </c>
      <c r="E93" s="23">
        <f t="shared" si="13"/>
        <v>58</v>
      </c>
      <c r="F93" s="23">
        <f t="shared" si="14"/>
        <v>58</v>
      </c>
    </row>
    <row r="94" spans="1:6" x14ac:dyDescent="0.25">
      <c r="B94">
        <v>31</v>
      </c>
      <c r="C94">
        <v>4200</v>
      </c>
      <c r="D94" s="23">
        <f t="shared" si="12"/>
        <v>55</v>
      </c>
      <c r="E94" s="23">
        <f t="shared" si="13"/>
        <v>55</v>
      </c>
      <c r="F94" s="23">
        <f t="shared" si="14"/>
        <v>55</v>
      </c>
    </row>
    <row r="95" spans="1:6" x14ac:dyDescent="0.25">
      <c r="B95">
        <v>32</v>
      </c>
      <c r="C95">
        <v>4000</v>
      </c>
      <c r="D95" s="23">
        <f t="shared" si="12"/>
        <v>53</v>
      </c>
      <c r="E95" s="23">
        <f t="shared" si="13"/>
        <v>53</v>
      </c>
      <c r="F95" s="23">
        <f t="shared" si="14"/>
        <v>53</v>
      </c>
    </row>
    <row r="96" spans="1:6" x14ac:dyDescent="0.25">
      <c r="B96">
        <v>33</v>
      </c>
      <c r="C96">
        <v>3803</v>
      </c>
      <c r="D96" s="23">
        <f t="shared" si="12"/>
        <v>50</v>
      </c>
      <c r="E96" s="23">
        <f t="shared" si="13"/>
        <v>50</v>
      </c>
      <c r="F96" s="23">
        <f t="shared" si="14"/>
        <v>50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79998168889431442"/>
    <pageSetUpPr fitToPage="1"/>
  </sheetPr>
  <dimension ref="A1:E25"/>
  <sheetViews>
    <sheetView tabSelected="1" workbookViewId="0">
      <selection activeCell="C22" sqref="C22"/>
    </sheetView>
  </sheetViews>
  <sheetFormatPr defaultColWidth="8.85546875" defaultRowHeight="15" x14ac:dyDescent="0.25"/>
  <cols>
    <col min="1" max="4" width="16.85546875" customWidth="1"/>
    <col min="5" max="5" width="22.42578125" customWidth="1"/>
    <col min="13" max="13" width="15.140625" customWidth="1"/>
    <col min="15" max="15" width="14.42578125" customWidth="1"/>
  </cols>
  <sheetData>
    <row r="1" spans="1:5" ht="15.75" thickBot="1" x14ac:dyDescent="0.3">
      <c r="A1" s="356" t="s">
        <v>368</v>
      </c>
      <c r="B1" s="356" t="s">
        <v>369</v>
      </c>
      <c r="C1" s="356" t="s">
        <v>370</v>
      </c>
      <c r="D1" s="356" t="s">
        <v>371</v>
      </c>
      <c r="E1" s="356" t="s">
        <v>372</v>
      </c>
    </row>
    <row r="2" spans="1:5" ht="15.75" thickTop="1" x14ac:dyDescent="0.25">
      <c r="A2" t="s">
        <v>656</v>
      </c>
      <c r="E2">
        <v>130</v>
      </c>
    </row>
    <row r="3" spans="1:5" x14ac:dyDescent="0.25">
      <c r="A3" t="s">
        <v>633</v>
      </c>
      <c r="E3">
        <v>150</v>
      </c>
    </row>
    <row r="4" spans="1:5" x14ac:dyDescent="0.25">
      <c r="A4" t="s">
        <v>634</v>
      </c>
      <c r="E4">
        <v>170</v>
      </c>
    </row>
    <row r="5" spans="1:5" x14ac:dyDescent="0.25">
      <c r="A5" t="s">
        <v>635</v>
      </c>
      <c r="E5">
        <v>190</v>
      </c>
    </row>
    <row r="6" spans="1:5" x14ac:dyDescent="0.25">
      <c r="A6" t="s">
        <v>636</v>
      </c>
      <c r="E6">
        <v>210</v>
      </c>
    </row>
    <row r="7" spans="1:5" x14ac:dyDescent="0.25">
      <c r="A7" t="s">
        <v>648</v>
      </c>
      <c r="E7">
        <v>230</v>
      </c>
    </row>
    <row r="8" spans="1:5" x14ac:dyDescent="0.25">
      <c r="A8" t="s">
        <v>649</v>
      </c>
      <c r="E8">
        <v>250</v>
      </c>
    </row>
    <row r="9" spans="1:5" x14ac:dyDescent="0.25">
      <c r="A9" t="s">
        <v>650</v>
      </c>
      <c r="E9">
        <v>270</v>
      </c>
    </row>
    <row r="10" spans="1:5" x14ac:dyDescent="0.25">
      <c r="A10" t="s">
        <v>661</v>
      </c>
      <c r="B10" t="s">
        <v>662</v>
      </c>
      <c r="C10" t="s">
        <v>376</v>
      </c>
      <c r="D10" t="s">
        <v>627</v>
      </c>
      <c r="E10">
        <v>175</v>
      </c>
    </row>
    <row r="11" spans="1:5" x14ac:dyDescent="0.25">
      <c r="A11" t="s">
        <v>801</v>
      </c>
      <c r="C11" t="s">
        <v>386</v>
      </c>
      <c r="D11" t="s">
        <v>627</v>
      </c>
      <c r="E11">
        <v>190</v>
      </c>
    </row>
    <row r="12" spans="1:5" x14ac:dyDescent="0.25">
      <c r="A12" s="370" t="s">
        <v>665</v>
      </c>
      <c r="B12" s="370" t="s">
        <v>666</v>
      </c>
      <c r="C12" s="370" t="s">
        <v>632</v>
      </c>
      <c r="D12" s="370" t="s">
        <v>627</v>
      </c>
      <c r="E12" s="371">
        <v>200</v>
      </c>
    </row>
    <row r="13" spans="1:5" x14ac:dyDescent="0.25">
      <c r="A13" t="s">
        <v>654</v>
      </c>
      <c r="B13" t="s">
        <v>655</v>
      </c>
      <c r="C13" t="s">
        <v>632</v>
      </c>
      <c r="D13" t="s">
        <v>627</v>
      </c>
      <c r="E13">
        <v>200</v>
      </c>
    </row>
    <row r="14" spans="1:5" x14ac:dyDescent="0.25">
      <c r="A14" t="s">
        <v>625</v>
      </c>
      <c r="B14" t="s">
        <v>626</v>
      </c>
      <c r="C14" t="s">
        <v>376</v>
      </c>
      <c r="D14" t="s">
        <v>627</v>
      </c>
      <c r="E14">
        <v>200</v>
      </c>
    </row>
    <row r="15" spans="1:5" x14ac:dyDescent="0.25">
      <c r="A15" t="s">
        <v>802</v>
      </c>
      <c r="B15" t="s">
        <v>803</v>
      </c>
      <c r="C15" t="s">
        <v>386</v>
      </c>
      <c r="D15" t="s">
        <v>627</v>
      </c>
      <c r="E15">
        <v>180</v>
      </c>
    </row>
    <row r="16" spans="1:5" x14ac:dyDescent="0.25">
      <c r="A16" t="s">
        <v>657</v>
      </c>
      <c r="B16" t="s">
        <v>658</v>
      </c>
      <c r="C16" t="s">
        <v>385</v>
      </c>
      <c r="D16" t="s">
        <v>627</v>
      </c>
      <c r="E16">
        <v>230</v>
      </c>
    </row>
    <row r="17" spans="1:5" x14ac:dyDescent="0.25">
      <c r="A17" t="s">
        <v>644</v>
      </c>
      <c r="B17" t="s">
        <v>645</v>
      </c>
      <c r="C17" t="s">
        <v>386</v>
      </c>
      <c r="D17" t="s">
        <v>627</v>
      </c>
      <c r="E17">
        <v>130</v>
      </c>
    </row>
    <row r="18" spans="1:5" x14ac:dyDescent="0.25">
      <c r="A18" t="s">
        <v>659</v>
      </c>
      <c r="B18" t="s">
        <v>660</v>
      </c>
      <c r="C18" t="s">
        <v>376</v>
      </c>
      <c r="D18" t="s">
        <v>638</v>
      </c>
      <c r="E18">
        <v>190</v>
      </c>
    </row>
    <row r="19" spans="1:5" x14ac:dyDescent="0.25">
      <c r="A19" t="s">
        <v>639</v>
      </c>
      <c r="B19" t="s">
        <v>637</v>
      </c>
      <c r="C19" t="s">
        <v>386</v>
      </c>
      <c r="D19" t="s">
        <v>627</v>
      </c>
      <c r="E19">
        <v>186</v>
      </c>
    </row>
    <row r="20" spans="1:5" x14ac:dyDescent="0.25">
      <c r="A20" t="s">
        <v>387</v>
      </c>
    </row>
    <row r="21" spans="1:5" x14ac:dyDescent="0.25">
      <c r="A21" t="s">
        <v>663</v>
      </c>
      <c r="B21" t="s">
        <v>664</v>
      </c>
      <c r="C21" t="s">
        <v>640</v>
      </c>
      <c r="D21" t="s">
        <v>627</v>
      </c>
      <c r="E21">
        <v>210</v>
      </c>
    </row>
    <row r="22" spans="1:5" x14ac:dyDescent="0.25">
      <c r="A22" t="s">
        <v>667</v>
      </c>
      <c r="B22" t="s">
        <v>668</v>
      </c>
      <c r="C22" t="s">
        <v>384</v>
      </c>
      <c r="D22" t="s">
        <v>627</v>
      </c>
      <c r="E22">
        <v>195</v>
      </c>
    </row>
    <row r="23" spans="1:5" x14ac:dyDescent="0.25">
      <c r="A23" t="s">
        <v>799</v>
      </c>
      <c r="B23" t="s">
        <v>800</v>
      </c>
      <c r="C23" t="s">
        <v>376</v>
      </c>
      <c r="D23" t="s">
        <v>627</v>
      </c>
      <c r="E23">
        <v>185</v>
      </c>
    </row>
    <row r="24" spans="1:5" x14ac:dyDescent="0.25">
      <c r="A24" s="370" t="s">
        <v>805</v>
      </c>
      <c r="B24" s="370" t="s">
        <v>806</v>
      </c>
      <c r="C24" s="370" t="s">
        <v>386</v>
      </c>
      <c r="D24" s="370" t="s">
        <v>627</v>
      </c>
      <c r="E24" s="371">
        <v>160</v>
      </c>
    </row>
    <row r="25" spans="1:5" x14ac:dyDescent="0.25">
      <c r="A25" t="s">
        <v>646</v>
      </c>
      <c r="B25" t="s">
        <v>647</v>
      </c>
      <c r="C25" t="s">
        <v>386</v>
      </c>
      <c r="D25" t="s">
        <v>627</v>
      </c>
      <c r="E25">
        <v>190</v>
      </c>
    </row>
  </sheetData>
  <sheetProtection sort="0" autoFilter="0"/>
  <phoneticPr fontId="25" type="noConversion"/>
  <pageMargins left="0.7" right="0.7" top="0.75" bottom="0.75" header="0.3" footer="0.3"/>
  <pageSetup scale="97" fitToWidth="2" fitToHeight="2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CR130"/>
  <sheetViews>
    <sheetView view="pageBreakPreview" zoomScale="70" zoomScaleNormal="60" zoomScaleSheetLayoutView="70" workbookViewId="0">
      <selection activeCell="BF70" sqref="BF70"/>
    </sheetView>
  </sheetViews>
  <sheetFormatPr defaultColWidth="9.140625" defaultRowHeight="12.75" x14ac:dyDescent="0.2"/>
  <cols>
    <col min="1" max="1" width="2.85546875" style="45" customWidth="1"/>
    <col min="2" max="2" width="15.85546875" style="45" customWidth="1"/>
    <col min="3" max="8" width="8.140625" style="45" customWidth="1"/>
    <col min="9" max="9" width="3.42578125" style="45" customWidth="1"/>
    <col min="10" max="11" width="8.140625" style="45" customWidth="1"/>
    <col min="12" max="12" width="7.140625" style="45" customWidth="1"/>
    <col min="13" max="13" width="6" style="45" customWidth="1"/>
    <col min="14" max="14" width="15.5703125" style="45" customWidth="1"/>
    <col min="15" max="16" width="2.140625" style="45" customWidth="1"/>
    <col min="17" max="17" width="4.140625" style="45" customWidth="1"/>
    <col min="18" max="24" width="2.140625" style="45" customWidth="1"/>
    <col min="25" max="25" width="3.42578125" style="45" customWidth="1"/>
    <col min="26" max="26" width="2.42578125" style="45" customWidth="1"/>
    <col min="27" max="28" width="2.140625" style="45" customWidth="1"/>
    <col min="29" max="29" width="3.42578125" style="45" customWidth="1"/>
    <col min="30" max="30" width="2.5703125" style="45" customWidth="1"/>
    <col min="31" max="49" width="2.140625" style="45" customWidth="1"/>
    <col min="50" max="50" width="2.42578125" style="45" customWidth="1"/>
    <col min="51" max="54" width="2.140625" style="45" customWidth="1"/>
    <col min="55" max="55" width="9.140625" style="45"/>
    <col min="56" max="56" width="9.140625" style="45" customWidth="1"/>
    <col min="57" max="16384" width="9.140625" style="45"/>
  </cols>
  <sheetData>
    <row r="1" spans="2:52" ht="22.5" customHeight="1" x14ac:dyDescent="0.25">
      <c r="B1" s="100" t="s">
        <v>179</v>
      </c>
      <c r="C1" s="464">
        <f ca="1">IF(ISBLANK('Start Here'!B4),"",'Start Here'!B4)</f>
        <v>45923</v>
      </c>
      <c r="D1" s="464"/>
      <c r="G1" s="133"/>
      <c r="H1" s="239"/>
      <c r="I1" s="239"/>
      <c r="J1" s="133" t="s">
        <v>226</v>
      </c>
      <c r="K1" s="45" t="str">
        <f>'Start Here'!B31&amp;" "&amp;"/ "&amp;'Start Here'!B32</f>
        <v xml:space="preserve"> / </v>
      </c>
      <c r="M1" s="45" t="s">
        <v>139</v>
      </c>
      <c r="O1" s="46" t="s">
        <v>179</v>
      </c>
      <c r="P1" s="47"/>
      <c r="Q1" s="47"/>
      <c r="R1" s="139"/>
      <c r="S1" s="476">
        <f ca="1">C1</f>
        <v>45923</v>
      </c>
      <c r="T1" s="476"/>
      <c r="U1" s="476"/>
      <c r="V1" s="476"/>
      <c r="W1" s="476"/>
      <c r="X1" s="476"/>
      <c r="Y1" s="476"/>
      <c r="Z1" s="139"/>
      <c r="AA1" s="218"/>
      <c r="AB1" s="218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20"/>
      <c r="AU1" s="55"/>
      <c r="AV1" s="56"/>
      <c r="AW1" s="56"/>
      <c r="AX1" s="56"/>
      <c r="AY1" s="56"/>
      <c r="AZ1" s="61"/>
    </row>
    <row r="2" spans="2:52" ht="18.75" customHeight="1" x14ac:dyDescent="0.25">
      <c r="B2" s="100" t="s">
        <v>190</v>
      </c>
      <c r="C2" s="49" t="str">
        <f>'Start Here'!B5&amp;" "&amp;"/ "&amp;'Start Here'!B6&amp;" "&amp;"/ "&amp;'Start Here'!B7&amp;" "&amp;"/ "&amp;'Start Here'!B8&amp;" "&amp;"/ "&amp;'Start Here'!B9</f>
        <v xml:space="preserve"> /  / NONE / NONE / NONE</v>
      </c>
      <c r="G2" s="133"/>
      <c r="H2" s="239"/>
      <c r="I2" s="239"/>
      <c r="J2" s="133" t="s">
        <v>227</v>
      </c>
      <c r="K2" s="45" t="str">
        <f>'Start Here'!B27&amp;" "&amp;"/ "&amp;'Start Here'!B26</f>
        <v xml:space="preserve"> / </v>
      </c>
      <c r="M2" s="45" t="s">
        <v>137</v>
      </c>
      <c r="O2" s="46" t="s">
        <v>190</v>
      </c>
      <c r="P2" s="47"/>
      <c r="Q2" s="47"/>
      <c r="R2" s="47"/>
      <c r="S2" s="476" t="str">
        <f>C2</f>
        <v xml:space="preserve"> /  / NONE / NONE / NONE</v>
      </c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476"/>
      <c r="AQ2" s="476"/>
      <c r="AR2" s="476"/>
      <c r="AS2" s="476"/>
      <c r="AT2" s="477"/>
      <c r="AU2" s="59"/>
      <c r="AZ2" s="60"/>
    </row>
    <row r="3" spans="2:52" ht="18.75" customHeight="1" x14ac:dyDescent="0.25">
      <c r="B3" s="100" t="s">
        <v>191</v>
      </c>
      <c r="C3" s="50" t="e">
        <f>IF('Start Here'!B13= "Other", "", 'Chart E W&amp;B Form'!C3)</f>
        <v>#N/A</v>
      </c>
      <c r="G3" s="133"/>
      <c r="H3" s="239"/>
      <c r="I3" s="239"/>
      <c r="J3" s="133" t="s">
        <v>228</v>
      </c>
      <c r="K3" s="45" t="str">
        <f>'Start Here'!B33&amp;" "&amp;"/ "&amp;'Start Here'!B34</f>
        <v xml:space="preserve"> / </v>
      </c>
      <c r="M3" s="45" t="s">
        <v>139</v>
      </c>
      <c r="O3" s="46" t="s">
        <v>191</v>
      </c>
      <c r="P3" s="47"/>
      <c r="Q3" s="47"/>
      <c r="R3" s="47"/>
      <c r="S3" s="488" t="e">
        <f>C3</f>
        <v>#N/A</v>
      </c>
      <c r="T3" s="488"/>
      <c r="U3" s="488"/>
      <c r="V3" s="488"/>
      <c r="W3" s="488"/>
      <c r="X3" s="488"/>
      <c r="Y3" s="488"/>
      <c r="Z3" s="488"/>
      <c r="AA3" s="488"/>
      <c r="AB3" s="488"/>
      <c r="AC3" s="46" t="s">
        <v>258</v>
      </c>
      <c r="AD3" s="47"/>
      <c r="AE3" s="493" t="str">
        <f>IF(ISBLANK('Start Here'!B14),"",'Start Here'!B14)</f>
        <v/>
      </c>
      <c r="AF3" s="493"/>
      <c r="AG3" s="493"/>
      <c r="AH3" s="139"/>
      <c r="AI3" s="139"/>
      <c r="AJ3" s="139"/>
      <c r="AK3" s="139"/>
      <c r="AL3" s="139"/>
      <c r="AM3" s="139"/>
      <c r="AN3" s="139"/>
      <c r="AO3" s="47"/>
      <c r="AP3" s="47"/>
      <c r="AQ3" s="47"/>
      <c r="AR3" s="47"/>
      <c r="AS3" s="47"/>
      <c r="AT3" s="48"/>
      <c r="AU3" s="59"/>
      <c r="AZ3" s="60"/>
    </row>
    <row r="4" spans="2:52" ht="21" customHeight="1" thickBot="1" x14ac:dyDescent="0.3">
      <c r="B4" s="100" t="s">
        <v>192</v>
      </c>
      <c r="C4" s="49" t="str">
        <f>IF(ISBLANK('Start Here'!B10),"",'Start Here'!B10)</f>
        <v/>
      </c>
      <c r="D4" s="49"/>
      <c r="E4" s="49"/>
      <c r="F4" s="49"/>
      <c r="G4" s="49"/>
      <c r="K4" s="49"/>
      <c r="O4" s="46" t="s">
        <v>192</v>
      </c>
      <c r="P4" s="124"/>
      <c r="Q4" s="47"/>
      <c r="R4" s="47"/>
      <c r="S4" s="476" t="str">
        <f>C4</f>
        <v/>
      </c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6"/>
      <c r="AP4" s="476"/>
      <c r="AQ4" s="476"/>
      <c r="AR4" s="476"/>
      <c r="AS4" s="476"/>
      <c r="AT4" s="477"/>
      <c r="AU4" s="68"/>
      <c r="AV4" s="66"/>
      <c r="AW4" s="66"/>
      <c r="AX4" s="66"/>
      <c r="AY4" s="66"/>
      <c r="AZ4" s="67"/>
    </row>
    <row r="5" spans="2:52" ht="15.75" customHeight="1" thickTop="1" x14ac:dyDescent="0.2">
      <c r="B5" s="466" t="s">
        <v>4</v>
      </c>
      <c r="C5" s="470" t="s">
        <v>193</v>
      </c>
      <c r="D5" s="470"/>
      <c r="E5" s="470" t="s">
        <v>214</v>
      </c>
      <c r="F5" s="470"/>
      <c r="G5" s="470" t="s">
        <v>215</v>
      </c>
      <c r="H5" s="470"/>
      <c r="I5" s="114"/>
      <c r="J5" s="468" t="s">
        <v>231</v>
      </c>
      <c r="K5" s="468"/>
      <c r="L5" s="468" t="s">
        <v>232</v>
      </c>
      <c r="M5" s="469"/>
      <c r="O5" s="52" t="s">
        <v>122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Z5" s="60"/>
    </row>
    <row r="6" spans="2:52" ht="13.5" thickBot="1" x14ac:dyDescent="0.25">
      <c r="B6" s="467"/>
      <c r="C6" s="137" t="s">
        <v>212</v>
      </c>
      <c r="D6" s="137" t="s">
        <v>213</v>
      </c>
      <c r="E6" s="137" t="s">
        <v>61</v>
      </c>
      <c r="F6" s="137" t="s">
        <v>216</v>
      </c>
      <c r="G6" s="137" t="s">
        <v>61</v>
      </c>
      <c r="H6" s="137" t="s">
        <v>216</v>
      </c>
      <c r="I6" s="109"/>
      <c r="J6" s="137" t="s">
        <v>224</v>
      </c>
      <c r="K6" s="137" t="s">
        <v>225</v>
      </c>
      <c r="L6" s="137" t="s">
        <v>229</v>
      </c>
      <c r="M6" s="138" t="s">
        <v>230</v>
      </c>
      <c r="O6" s="55" t="s">
        <v>236</v>
      </c>
      <c r="P6" s="56"/>
      <c r="Q6" s="56"/>
      <c r="R6" s="56"/>
      <c r="S6" s="57"/>
      <c r="T6" s="492" t="str">
        <f>IF(ISBLANK('Start Here'!B22),"",'Start Here'!B22)</f>
        <v/>
      </c>
      <c r="U6" s="492"/>
      <c r="V6" s="492"/>
      <c r="W6" s="492"/>
      <c r="X6" s="56" t="s">
        <v>259</v>
      </c>
      <c r="Y6" s="57"/>
      <c r="Z6" s="58"/>
      <c r="AA6" s="59"/>
      <c r="AZ6" s="60"/>
    </row>
    <row r="7" spans="2:52" ht="13.5" thickTop="1" x14ac:dyDescent="0.2">
      <c r="B7" s="134" t="s">
        <v>217</v>
      </c>
      <c r="C7" s="135" t="e">
        <f>'Chart E W&amp;B Form'!D24</f>
        <v>#VALUE!</v>
      </c>
      <c r="D7" s="135" t="e">
        <f>C7*(1/'Reference Tables'!$B$239)</f>
        <v>#VALUE!</v>
      </c>
      <c r="E7" s="136"/>
      <c r="F7" s="136"/>
      <c r="G7" s="136"/>
      <c r="H7" s="136"/>
      <c r="I7" s="109"/>
      <c r="J7" s="206"/>
      <c r="K7" s="206"/>
      <c r="L7" s="206"/>
      <c r="M7" s="207"/>
      <c r="O7" s="55" t="s">
        <v>260</v>
      </c>
      <c r="P7" s="56"/>
      <c r="Q7" s="56"/>
      <c r="R7" s="56"/>
      <c r="S7" s="56"/>
      <c r="T7" s="56"/>
      <c r="U7" s="61"/>
      <c r="V7" s="55" t="s">
        <v>612</v>
      </c>
      <c r="W7" s="56"/>
      <c r="X7" s="56"/>
      <c r="Y7" s="56"/>
      <c r="Z7" s="61"/>
      <c r="AA7" s="55" t="s">
        <v>194</v>
      </c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61"/>
    </row>
    <row r="8" spans="2:52" x14ac:dyDescent="0.2">
      <c r="B8" s="107" t="s">
        <v>254</v>
      </c>
      <c r="C8" s="74">
        <f>'Chart E W&amp;B Form'!D25+8</f>
        <v>430.91239999999999</v>
      </c>
      <c r="D8" s="74">
        <f>C8*(1/'Reference Tables'!$B$239)</f>
        <v>950</v>
      </c>
      <c r="E8" s="102"/>
      <c r="F8" s="102"/>
      <c r="G8" s="102"/>
      <c r="H8" s="102"/>
      <c r="I8" s="109"/>
      <c r="J8" s="208"/>
      <c r="K8" s="208"/>
      <c r="L8" s="208"/>
      <c r="M8" s="209"/>
      <c r="O8" s="59"/>
      <c r="P8" s="473" t="str">
        <f>IF(ISBLANK('Start Here'!B23),"",('Start Here'!B23))</f>
        <v/>
      </c>
      <c r="Q8" s="473"/>
      <c r="R8" s="62" t="s">
        <v>195</v>
      </c>
      <c r="S8" s="474" t="str">
        <f>IF(ISBLANK('Start Here'!D23),"",'Start Here'!D23)</f>
        <v/>
      </c>
      <c r="T8" s="474"/>
      <c r="U8" s="475"/>
      <c r="V8" s="59"/>
      <c r="W8" s="478" t="str">
        <f>IF(ISBLANK('Start Here'!B24),"",'Start Here'!B24)</f>
        <v/>
      </c>
      <c r="X8" s="478"/>
      <c r="Y8" s="478"/>
      <c r="Z8" s="60"/>
      <c r="AA8" s="59"/>
      <c r="AB8" s="494" t="str">
        <f>IF(ISBLANK('Start Here'!B25),"",'Start Here'!B25)</f>
        <v/>
      </c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4"/>
      <c r="AS8" s="494"/>
      <c r="AT8" s="494"/>
      <c r="AU8" s="494"/>
      <c r="AV8" s="494"/>
      <c r="AW8" s="494"/>
      <c r="AX8" s="494"/>
      <c r="AY8" s="64"/>
      <c r="AZ8" s="65"/>
    </row>
    <row r="9" spans="2:52" x14ac:dyDescent="0.2">
      <c r="B9" s="108" t="s">
        <v>218</v>
      </c>
      <c r="C9" s="74" t="e">
        <f>'Chart E W&amp;B Form'!D26</f>
        <v>#VALUE!</v>
      </c>
      <c r="D9" s="110" t="e">
        <f>(1/'Reference Tables'!$B$239)*C9</f>
        <v>#VALUE!</v>
      </c>
      <c r="E9" s="74" t="e">
        <f>'Chart E W&amp;B Form'!I26</f>
        <v>#VALUE!</v>
      </c>
      <c r="F9" s="110" t="e">
        <f>E9*(1/'Reference Tables'!$B$240)</f>
        <v>#VALUE!</v>
      </c>
      <c r="G9" s="74" t="e">
        <f>'Chart E W&amp;B Form'!J26</f>
        <v>#VALUE!</v>
      </c>
      <c r="H9" s="111" t="e">
        <f>G9*(1/'Reference Tables'!$B$240)</f>
        <v>#VALUE!</v>
      </c>
      <c r="I9" s="109"/>
      <c r="J9" s="105">
        <f>'Performance Calculations'!E4</f>
        <v>108.5</v>
      </c>
      <c r="K9" s="105">
        <f>'Performance Calculations'!F4</f>
        <v>100</v>
      </c>
      <c r="L9" s="74" t="e">
        <f>'Performance Calculations'!H4</f>
        <v>#VALUE!</v>
      </c>
      <c r="M9" s="238" t="e">
        <f>'Performance Calculations'!G4</f>
        <v>#VALUE!</v>
      </c>
      <c r="O9" s="55" t="s">
        <v>264</v>
      </c>
      <c r="P9" s="56"/>
      <c r="Q9" s="56"/>
      <c r="R9" s="56"/>
      <c r="S9" s="56"/>
      <c r="T9" s="56"/>
      <c r="U9" s="61"/>
      <c r="V9" s="55" t="s">
        <v>196</v>
      </c>
      <c r="W9" s="56"/>
      <c r="X9" s="56"/>
      <c r="Y9" s="56"/>
      <c r="Z9" s="61"/>
      <c r="AA9" s="55" t="s">
        <v>261</v>
      </c>
      <c r="AB9" s="56"/>
      <c r="AC9" s="56"/>
      <c r="AD9" s="56"/>
      <c r="AI9" s="60"/>
      <c r="AJ9" s="59" t="s">
        <v>197</v>
      </c>
      <c r="AR9" s="60"/>
      <c r="AS9" s="45" t="s">
        <v>263</v>
      </c>
      <c r="AV9" s="60"/>
      <c r="AW9" s="485" t="s">
        <v>611</v>
      </c>
      <c r="AX9" s="486"/>
      <c r="AY9" s="486"/>
      <c r="AZ9" s="487"/>
    </row>
    <row r="10" spans="2:52" x14ac:dyDescent="0.2">
      <c r="B10" s="107" t="s">
        <v>255</v>
      </c>
      <c r="C10" s="74">
        <f>'Chart E W&amp;B Form'!D27+8</f>
        <v>22.679600000000001</v>
      </c>
      <c r="D10" s="74">
        <f>C10*(1/'Reference Tables'!$B$239)</f>
        <v>50</v>
      </c>
      <c r="E10" s="102"/>
      <c r="F10" s="102"/>
      <c r="G10" s="102"/>
      <c r="H10" s="102"/>
      <c r="I10" s="109"/>
      <c r="J10" s="212"/>
      <c r="K10" s="212"/>
      <c r="L10" s="233"/>
      <c r="M10" s="234"/>
      <c r="O10" s="481" t="str">
        <f>IF(ISBLANK('Start Here'!B27),"",'Start Here'!B27)</f>
        <v/>
      </c>
      <c r="P10" s="478"/>
      <c r="Q10" s="478"/>
      <c r="R10" s="62" t="s">
        <v>195</v>
      </c>
      <c r="S10" s="483" t="str">
        <f>IF(ISBLANK('Start Here'!B28),"",'Start Here'!B28)</f>
        <v/>
      </c>
      <c r="T10" s="483"/>
      <c r="U10" s="484"/>
      <c r="V10" s="481" t="str">
        <f>IF(ISBLANK('Start Here'!B31),"",'Start Here'!B31)</f>
        <v/>
      </c>
      <c r="W10" s="478"/>
      <c r="X10" s="478"/>
      <c r="Y10" s="478"/>
      <c r="Z10" s="482"/>
      <c r="AA10" s="59"/>
      <c r="AC10" s="478" t="str">
        <f>IF(ISBLANK('Start Here'!B29),"",'Start Here'!B29)</f>
        <v/>
      </c>
      <c r="AD10" s="478"/>
      <c r="AE10" s="478"/>
      <c r="AF10" s="478"/>
      <c r="AG10" s="478"/>
      <c r="AI10" s="60"/>
      <c r="AJ10" s="59"/>
      <c r="AK10" s="478" t="str">
        <f>IF(ISBLANK('Start Here'!B33),"",'Start Here'!B33)</f>
        <v/>
      </c>
      <c r="AL10" s="478"/>
      <c r="AM10" s="478"/>
      <c r="AN10" s="45" t="s">
        <v>198</v>
      </c>
      <c r="AO10" s="478" t="str">
        <f>IF(ISBLANK('Start Here'!B34),"",'Start Here'!B34)</f>
        <v/>
      </c>
      <c r="AP10" s="478"/>
      <c r="AQ10" s="478"/>
      <c r="AR10" s="60" t="s">
        <v>199</v>
      </c>
      <c r="AS10" s="481" t="str">
        <f>IF(ISBLANK('Start Here'!B35),"",'Start Here'!B35)</f>
        <v/>
      </c>
      <c r="AT10" s="478"/>
      <c r="AU10" s="478"/>
      <c r="AV10" s="482"/>
      <c r="AW10" s="481" t="str">
        <f>IF(ISBLANK('Start Here'!B30),"",'Start Here'!B30)</f>
        <v/>
      </c>
      <c r="AX10" s="478"/>
      <c r="AY10" s="478"/>
      <c r="AZ10" s="482"/>
    </row>
    <row r="11" spans="2:52" x14ac:dyDescent="0.2">
      <c r="B11" s="108" t="s">
        <v>219</v>
      </c>
      <c r="C11" s="74" t="e">
        <f>'Chart E W&amp;B Form'!D28</f>
        <v>#VALUE!</v>
      </c>
      <c r="D11" s="110" t="e">
        <f>(1/'Reference Tables'!$B$239)*C11</f>
        <v>#VALUE!</v>
      </c>
      <c r="E11" s="74" t="e">
        <f>'Chart E W&amp;B Form'!I28</f>
        <v>#VALUE!</v>
      </c>
      <c r="F11" s="110" t="e">
        <f>E11*(1/'Reference Tables'!$B$240)</f>
        <v>#VALUE!</v>
      </c>
      <c r="G11" s="74" t="e">
        <f>'Chart E W&amp;B Form'!J28</f>
        <v>#VALUE!</v>
      </c>
      <c r="H11" s="111" t="e">
        <f>G11*(1/'Reference Tables'!$B$240)</f>
        <v>#VALUE!</v>
      </c>
      <c r="I11" s="109"/>
      <c r="J11" s="105">
        <f>'Performance Calculations'!E5</f>
        <v>108.5</v>
      </c>
      <c r="K11" s="105">
        <f>'Performance Calculations'!F5</f>
        <v>100</v>
      </c>
      <c r="L11" s="74" t="e">
        <f>'Performance Calculations'!H5</f>
        <v>#VALUE!</v>
      </c>
      <c r="M11" s="238" t="e">
        <f>'Performance Calculations'!G5</f>
        <v>#VALUE!</v>
      </c>
      <c r="O11" s="59" t="s">
        <v>200</v>
      </c>
      <c r="U11" s="60"/>
      <c r="V11" s="45" t="s">
        <v>200</v>
      </c>
      <c r="AA11" s="59"/>
      <c r="AI11" s="60"/>
      <c r="AJ11" s="59"/>
      <c r="AS11" s="59"/>
      <c r="AV11" s="60"/>
      <c r="AZ11" s="60"/>
    </row>
    <row r="12" spans="2:52" ht="17.25" customHeight="1" x14ac:dyDescent="0.2">
      <c r="B12" s="115"/>
      <c r="C12" s="103"/>
      <c r="D12" s="104"/>
      <c r="E12" s="104"/>
      <c r="F12" s="104"/>
      <c r="G12" s="104"/>
      <c r="H12" s="104"/>
      <c r="I12" s="112"/>
      <c r="J12" s="210"/>
      <c r="K12" s="210"/>
      <c r="L12" s="235"/>
      <c r="M12" s="236"/>
      <c r="O12" s="479" t="str">
        <f>IF(ISBLANK('Start Here'!B26),"",'Start Here'!B26)</f>
        <v/>
      </c>
      <c r="P12" s="480"/>
      <c r="Q12" s="66"/>
      <c r="R12" s="66"/>
      <c r="S12" s="66"/>
      <c r="T12" s="66"/>
      <c r="U12" s="67"/>
      <c r="V12" s="479" t="str">
        <f>IF(ISBLANK('Start Here'!B32),"",'Start Here'!B32)</f>
        <v/>
      </c>
      <c r="W12" s="480"/>
      <c r="X12" s="480"/>
      <c r="Y12" s="480"/>
      <c r="Z12" s="67"/>
      <c r="AA12" s="68"/>
      <c r="AB12" s="66"/>
      <c r="AC12" s="66"/>
      <c r="AD12" s="66"/>
      <c r="AE12" s="66"/>
      <c r="AF12" s="66"/>
      <c r="AG12" s="66"/>
      <c r="AH12" s="66"/>
      <c r="AI12" s="67"/>
      <c r="AJ12" s="68"/>
      <c r="AK12" s="66"/>
      <c r="AL12" s="66"/>
      <c r="AM12" s="66"/>
      <c r="AN12" s="66"/>
      <c r="AO12" s="66"/>
      <c r="AP12" s="66"/>
      <c r="AQ12" s="66"/>
      <c r="AR12" s="67"/>
      <c r="AS12" s="68"/>
      <c r="AT12" s="66"/>
      <c r="AU12" s="66"/>
      <c r="AV12" s="67"/>
      <c r="AW12" s="66"/>
      <c r="AX12" s="66"/>
      <c r="AY12" s="66"/>
      <c r="AZ12" s="67"/>
    </row>
    <row r="13" spans="2:52" x14ac:dyDescent="0.2">
      <c r="B13" s="107" t="s">
        <v>222</v>
      </c>
      <c r="C13" s="74" t="str">
        <f>IF('Start Here'!B11="NO","",'Chart E W&amp;B Form'!D11)</f>
        <v/>
      </c>
      <c r="D13" s="74" t="str">
        <f>IF('Start Here'!B11="NO","",C13*(1/'Reference Tables'!$B$239))</f>
        <v/>
      </c>
      <c r="E13" s="106"/>
      <c r="F13" s="106"/>
      <c r="G13" s="106"/>
      <c r="H13" s="106"/>
      <c r="I13" s="109"/>
      <c r="J13" s="212"/>
      <c r="K13" s="212"/>
      <c r="L13" s="233"/>
      <c r="M13" s="234"/>
      <c r="O13" s="59" t="s">
        <v>201</v>
      </c>
      <c r="AZ13" s="60"/>
    </row>
    <row r="14" spans="2:52" x14ac:dyDescent="0.2">
      <c r="B14" s="107" t="s">
        <v>256</v>
      </c>
      <c r="C14" s="74" t="str">
        <f>IF('Start Here'!B11="NO","",'Chart E W&amp;B Form'!D30)</f>
        <v/>
      </c>
      <c r="D14" s="74" t="str">
        <f>IF('Start Here'!B11="NO","",C14*(1/'Reference Tables'!$B$239))</f>
        <v/>
      </c>
      <c r="E14" s="106"/>
      <c r="F14" s="106"/>
      <c r="G14" s="106"/>
      <c r="H14" s="106"/>
      <c r="I14" s="109"/>
      <c r="J14" s="212"/>
      <c r="K14" s="212"/>
      <c r="L14" s="233"/>
      <c r="M14" s="234"/>
      <c r="O14" s="59"/>
      <c r="P14" s="63"/>
      <c r="Q14" s="70" t="str">
        <f>IF(ISBLANK('Start Here'!B36),"",'Start Here'!B36)</f>
        <v/>
      </c>
      <c r="R14" s="63"/>
      <c r="S14" s="63"/>
      <c r="T14" s="63"/>
      <c r="U14" s="63"/>
      <c r="V14" s="70" t="str">
        <f>IF(ISBLANK('Start Here'!F36),"",'Start Here'!F36)</f>
        <v/>
      </c>
      <c r="W14" s="63"/>
      <c r="X14" s="70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0"/>
    </row>
    <row r="15" spans="2:52" x14ac:dyDescent="0.2">
      <c r="B15" s="108" t="s">
        <v>220</v>
      </c>
      <c r="C15" s="74" t="str">
        <f>IF('Start Here'!B11="NO","",'Chart E W&amp;B Form'!D31)</f>
        <v/>
      </c>
      <c r="D15" s="110" t="str">
        <f>IF('Start Here'!B11="NO","",C15*(1/'Reference Tables'!$B$239))</f>
        <v/>
      </c>
      <c r="E15" s="105" t="str">
        <f>IF('Start Here'!B11="NO","",'Chart E W&amp;B Form'!I31)</f>
        <v/>
      </c>
      <c r="F15" s="110" t="str">
        <f>IF('Start Here'!B11="NO","",E15*(1/'Reference Tables'!$B$240))</f>
        <v/>
      </c>
      <c r="G15" s="105" t="str">
        <f>IF('Start Here'!B11="NO","",'Chart E W&amp;B Form'!J31)</f>
        <v/>
      </c>
      <c r="H15" s="111" t="str">
        <f>IF('Start Here'!B11="NO","",G15*(1/'Reference Tables'!$B$240))</f>
        <v/>
      </c>
      <c r="I15" s="109"/>
      <c r="J15" s="211">
        <f>'Performance Calculations'!E6</f>
        <v>108.5</v>
      </c>
      <c r="K15" s="211">
        <f>'Performance Calculations'!F6</f>
        <v>100</v>
      </c>
      <c r="L15" s="233"/>
      <c r="M15" s="232" t="e">
        <f>'Performance Calculations'!G6</f>
        <v>#VALUE!</v>
      </c>
      <c r="O15" s="59"/>
      <c r="P15" s="63"/>
      <c r="Q15" s="70" t="str">
        <f>IF(ISBLANK('Start Here'!B37),"",'Start Here'!B37)</f>
        <v/>
      </c>
      <c r="V15" s="70" t="str">
        <f>IF(ISBLANK('Start Here'!F37),"",'Start Here'!F37)</f>
        <v/>
      </c>
      <c r="X15" s="70"/>
      <c r="AY15" s="63"/>
      <c r="AZ15" s="60"/>
    </row>
    <row r="16" spans="2:52" x14ac:dyDescent="0.2">
      <c r="B16" s="107" t="s">
        <v>223</v>
      </c>
      <c r="C16" s="74" t="str">
        <f>IF('Start Here'!B12="NO","",'Chart E W&amp;B Form'!D22)</f>
        <v/>
      </c>
      <c r="D16" s="74" t="str">
        <f>IF('Start Here'!B12="NO","",C16*(1/'Reference Tables'!$B$239))</f>
        <v/>
      </c>
      <c r="E16" s="106"/>
      <c r="F16" s="106"/>
      <c r="G16" s="106"/>
      <c r="H16" s="106"/>
      <c r="I16" s="109"/>
      <c r="J16" s="212"/>
      <c r="K16" s="212"/>
      <c r="L16" s="233"/>
      <c r="M16" s="234"/>
      <c r="O16" s="59"/>
      <c r="P16" s="63"/>
      <c r="Q16" s="70" t="str">
        <f>IF(ISBLANK('Start Here'!B38),"",'Start Here'!B38)</f>
        <v/>
      </c>
      <c r="R16" s="63"/>
      <c r="S16" s="63"/>
      <c r="T16" s="63"/>
      <c r="U16" s="63"/>
      <c r="V16" s="70" t="str">
        <f>IF(ISBLANK('Start Here'!F38),"",'Start Here'!F38)</f>
        <v/>
      </c>
      <c r="W16" s="63"/>
      <c r="X16" s="70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0"/>
    </row>
    <row r="17" spans="2:52" ht="13.5" thickBot="1" x14ac:dyDescent="0.25">
      <c r="B17" s="107" t="s">
        <v>257</v>
      </c>
      <c r="C17" s="74" t="str">
        <f>IF('Start Here'!B12="NO","",'Chart E W&amp;B Form'!D32)</f>
        <v/>
      </c>
      <c r="D17" s="74" t="str">
        <f>IF('Start Here'!B12="NO","",C17*(1/'Reference Tables'!$B$239))</f>
        <v/>
      </c>
      <c r="E17" s="106"/>
      <c r="F17" s="106"/>
      <c r="G17" s="106"/>
      <c r="H17" s="106"/>
      <c r="I17" s="109"/>
      <c r="J17" s="212"/>
      <c r="K17" s="212"/>
      <c r="L17" s="233"/>
      <c r="M17" s="234"/>
      <c r="O17" s="71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3"/>
    </row>
    <row r="18" spans="2:52" ht="13.5" thickTop="1" x14ac:dyDescent="0.2">
      <c r="B18" s="108" t="s">
        <v>221</v>
      </c>
      <c r="C18" s="74" t="str">
        <f>IF('Start Here'!B12="NO","",'Chart E W&amp;B Form'!D33)</f>
        <v/>
      </c>
      <c r="D18" s="110" t="str">
        <f>IF('Start Here'!B12="NO","",C18*(1/'Reference Tables'!$B$239))</f>
        <v/>
      </c>
      <c r="E18" s="105" t="str">
        <f>IF('Start Here'!B12="NO","",'Chart E W&amp;B Form'!I33)</f>
        <v/>
      </c>
      <c r="F18" s="110" t="str">
        <f>IF('Start Here'!B12="NO","",E18*(1/'Reference Tables'!$B$240))</f>
        <v/>
      </c>
      <c r="G18" s="105" t="str">
        <f>IF('Start Here'!B12="NO","",'Chart E W&amp;B Form'!J33)</f>
        <v/>
      </c>
      <c r="H18" s="111" t="str">
        <f>IF('Start Here'!B12="NO","",G18*(1/'Reference Tables'!$B$240))</f>
        <v/>
      </c>
      <c r="I18" s="113"/>
      <c r="J18" s="211">
        <f>'Performance Calculations'!E7</f>
        <v>108.5</v>
      </c>
      <c r="K18" s="211">
        <f>'Performance Calculations'!F7</f>
        <v>100</v>
      </c>
      <c r="L18" s="233"/>
      <c r="M18" s="232" t="e">
        <f>'Performance Calculations'!G7</f>
        <v>#VALUE!</v>
      </c>
      <c r="O18" s="75" t="s">
        <v>203</v>
      </c>
      <c r="AZ18" s="54"/>
    </row>
    <row r="19" spans="2:52" ht="13.5" thickBot="1" x14ac:dyDescent="0.25">
      <c r="B19" s="365" t="s">
        <v>277</v>
      </c>
      <c r="C19" s="89"/>
      <c r="D19" s="89"/>
      <c r="E19" s="89"/>
      <c r="F19" s="89"/>
      <c r="G19" s="89"/>
      <c r="H19" s="89"/>
      <c r="I19" s="89"/>
      <c r="J19" s="116"/>
      <c r="K19" s="89"/>
      <c r="L19" s="116"/>
      <c r="M19" s="101"/>
      <c r="O19" s="76" t="s">
        <v>238</v>
      </c>
      <c r="P19" s="126"/>
      <c r="R19" s="78" t="s">
        <v>239</v>
      </c>
      <c r="S19" s="78"/>
      <c r="T19" s="78"/>
      <c r="U19" s="78"/>
      <c r="V19" s="78"/>
      <c r="W19" s="78"/>
      <c r="X19" s="78" t="s">
        <v>240</v>
      </c>
      <c r="Y19" s="78"/>
      <c r="Z19" s="78" t="s">
        <v>241</v>
      </c>
      <c r="AA19" s="78"/>
      <c r="AB19" s="78"/>
      <c r="AC19" s="78"/>
      <c r="AD19" s="78"/>
      <c r="AE19" s="78" t="s">
        <v>242</v>
      </c>
      <c r="AF19" s="78"/>
      <c r="AG19" s="78"/>
      <c r="AH19" s="78"/>
      <c r="AI19" s="78"/>
      <c r="AJ19" s="78" t="s">
        <v>243</v>
      </c>
      <c r="AK19" s="78"/>
      <c r="AM19" s="78"/>
      <c r="AN19" s="78"/>
      <c r="AO19" s="78"/>
      <c r="AP19" s="45" t="s">
        <v>142</v>
      </c>
      <c r="AW19" s="78" t="s">
        <v>244</v>
      </c>
      <c r="AX19" s="78"/>
      <c r="AY19" s="78"/>
      <c r="AZ19" s="99"/>
    </row>
    <row r="20" spans="2:52" x14ac:dyDescent="0.2">
      <c r="C20" s="117"/>
      <c r="D20" s="118"/>
      <c r="E20" s="118"/>
      <c r="F20" s="118"/>
      <c r="G20" s="118"/>
      <c r="H20" s="118"/>
      <c r="I20" s="51"/>
      <c r="J20" s="132"/>
      <c r="L20" s="132"/>
      <c r="M20" s="132"/>
      <c r="O20" s="90"/>
      <c r="P20" s="127"/>
      <c r="Q20" s="56"/>
      <c r="R20" s="90"/>
      <c r="S20" s="91"/>
      <c r="T20" s="91"/>
      <c r="U20" s="91"/>
      <c r="V20" s="91"/>
      <c r="W20" s="92"/>
      <c r="X20" s="90"/>
      <c r="Y20" s="91"/>
      <c r="Z20" s="90"/>
      <c r="AA20" s="91"/>
      <c r="AB20" s="91"/>
      <c r="AC20" s="91"/>
      <c r="AD20" s="92"/>
      <c r="AE20" s="90"/>
      <c r="AF20" s="91"/>
      <c r="AG20" s="91"/>
      <c r="AH20" s="127"/>
      <c r="AI20" s="127"/>
      <c r="AJ20" s="90"/>
      <c r="AK20" s="91"/>
      <c r="AL20" s="91"/>
      <c r="AM20" s="91"/>
      <c r="AN20" s="91"/>
      <c r="AO20" s="92"/>
      <c r="AP20" s="55"/>
      <c r="AQ20" s="56"/>
      <c r="AR20" s="56"/>
      <c r="AS20" s="56"/>
      <c r="AT20" s="56"/>
      <c r="AU20" s="56"/>
      <c r="AV20" s="61"/>
      <c r="AW20" s="90"/>
      <c r="AX20" s="91"/>
      <c r="AY20" s="91"/>
      <c r="AZ20" s="92"/>
    </row>
    <row r="21" spans="2:52" ht="15.75" customHeight="1" x14ac:dyDescent="0.2">
      <c r="B21" s="69"/>
      <c r="C21" s="119"/>
      <c r="D21" s="118"/>
      <c r="E21" s="120"/>
      <c r="F21" s="120"/>
      <c r="G21" s="120"/>
      <c r="H21" s="120"/>
      <c r="J21" s="132"/>
      <c r="L21" s="132"/>
      <c r="M21" s="132"/>
      <c r="O21" s="79"/>
      <c r="P21" s="80"/>
      <c r="Q21" s="66"/>
      <c r="R21" s="79"/>
      <c r="S21" s="81"/>
      <c r="T21" s="81"/>
      <c r="U21" s="81"/>
      <c r="V21" s="81"/>
      <c r="W21" s="99"/>
      <c r="X21" s="79"/>
      <c r="Y21" s="81"/>
      <c r="Z21" s="79"/>
      <c r="AA21" s="81"/>
      <c r="AB21" s="81"/>
      <c r="AC21" s="81"/>
      <c r="AD21" s="99"/>
      <c r="AE21" s="79"/>
      <c r="AF21" s="81"/>
      <c r="AG21" s="80"/>
      <c r="AH21" s="80"/>
      <c r="AI21" s="80"/>
      <c r="AJ21" s="79"/>
      <c r="AK21" s="66"/>
      <c r="AL21" s="66"/>
      <c r="AM21" s="66"/>
      <c r="AN21" s="66"/>
      <c r="AO21" s="67"/>
      <c r="AP21" s="68"/>
      <c r="AQ21" s="66"/>
      <c r="AR21" s="66"/>
      <c r="AS21" s="66"/>
      <c r="AT21" s="66"/>
      <c r="AU21" s="66"/>
      <c r="AV21" s="67"/>
      <c r="AW21" s="68"/>
      <c r="AX21" s="66"/>
      <c r="AY21" s="66"/>
      <c r="AZ21" s="67"/>
    </row>
    <row r="22" spans="2:52" x14ac:dyDescent="0.2">
      <c r="C22" s="117"/>
      <c r="D22" s="118"/>
      <c r="E22" s="118"/>
      <c r="F22" s="118"/>
      <c r="G22" s="118"/>
      <c r="H22" s="118"/>
      <c r="J22" s="132"/>
      <c r="L22" s="132"/>
      <c r="M22" s="132"/>
      <c r="O22" s="90"/>
      <c r="P22" s="127"/>
      <c r="Q22" s="56"/>
      <c r="R22" s="90"/>
      <c r="S22" s="91"/>
      <c r="T22" s="91"/>
      <c r="U22" s="91"/>
      <c r="V22" s="91"/>
      <c r="W22" s="92"/>
      <c r="X22" s="90"/>
      <c r="Y22" s="91"/>
      <c r="Z22" s="90"/>
      <c r="AA22" s="91"/>
      <c r="AB22" s="91"/>
      <c r="AC22" s="91"/>
      <c r="AD22" s="92"/>
      <c r="AE22" s="90"/>
      <c r="AF22" s="91"/>
      <c r="AG22" s="91"/>
      <c r="AH22" s="127"/>
      <c r="AI22" s="127"/>
      <c r="AJ22" s="90"/>
      <c r="AK22" s="91"/>
      <c r="AL22" s="91"/>
      <c r="AM22" s="91"/>
      <c r="AN22" s="91"/>
      <c r="AO22" s="92"/>
      <c r="AP22" s="55"/>
      <c r="AQ22" s="56"/>
      <c r="AR22" s="56"/>
      <c r="AS22" s="56"/>
      <c r="AT22" s="56"/>
      <c r="AU22" s="56"/>
      <c r="AV22" s="61"/>
      <c r="AW22" s="90"/>
      <c r="AX22" s="91"/>
      <c r="AY22" s="91"/>
      <c r="AZ22" s="92"/>
    </row>
    <row r="23" spans="2:52" ht="13.5" thickBot="1" x14ac:dyDescent="0.25">
      <c r="B23" s="69"/>
      <c r="C23" s="117"/>
      <c r="D23" s="118"/>
      <c r="E23" s="118"/>
      <c r="F23" s="118"/>
      <c r="G23" s="118"/>
      <c r="H23" s="118"/>
      <c r="J23" s="132"/>
      <c r="L23" s="132"/>
      <c r="O23" s="76"/>
      <c r="P23" s="77"/>
      <c r="R23" s="76"/>
      <c r="S23" s="78"/>
      <c r="T23" s="78"/>
      <c r="U23" s="78"/>
      <c r="V23" s="78"/>
      <c r="W23" s="93"/>
      <c r="X23" s="76"/>
      <c r="Y23" s="78"/>
      <c r="Z23" s="76"/>
      <c r="AA23" s="81"/>
      <c r="AB23" s="81"/>
      <c r="AC23" s="81"/>
      <c r="AD23" s="99"/>
      <c r="AE23" s="79"/>
      <c r="AF23" s="81"/>
      <c r="AG23" s="80"/>
      <c r="AH23" s="80"/>
      <c r="AI23" s="80"/>
      <c r="AJ23" s="79"/>
      <c r="AK23" s="66"/>
      <c r="AL23" s="66"/>
      <c r="AM23" s="66"/>
      <c r="AN23" s="66"/>
      <c r="AO23" s="67"/>
      <c r="AP23" s="68"/>
      <c r="AQ23" s="66"/>
      <c r="AR23" s="66"/>
      <c r="AS23" s="66"/>
      <c r="AT23" s="66"/>
      <c r="AU23" s="66"/>
      <c r="AV23" s="67"/>
      <c r="AW23" s="68"/>
      <c r="AX23" s="66"/>
      <c r="AY23" s="66"/>
      <c r="AZ23" s="67"/>
    </row>
    <row r="24" spans="2:52" ht="15" customHeight="1" thickBot="1" x14ac:dyDescent="0.25">
      <c r="C24" s="117"/>
      <c r="D24" s="118"/>
      <c r="E24" s="118"/>
      <c r="F24" s="118"/>
      <c r="G24" s="118"/>
      <c r="H24" s="118"/>
      <c r="J24" s="132"/>
      <c r="L24" s="132"/>
      <c r="O24" s="222"/>
      <c r="P24" s="223" t="s">
        <v>266</v>
      </c>
      <c r="Q24" s="224"/>
      <c r="R24" s="223"/>
      <c r="S24" s="223" t="s">
        <v>195</v>
      </c>
      <c r="T24" s="223" t="s">
        <v>309</v>
      </c>
      <c r="U24" s="224"/>
      <c r="V24" s="224"/>
      <c r="W24" s="223"/>
      <c r="X24" s="223"/>
      <c r="Y24" s="223"/>
      <c r="Z24" s="225"/>
      <c r="AA24" s="69" t="s">
        <v>205</v>
      </c>
      <c r="AE24" s="69"/>
      <c r="AW24" s="56"/>
      <c r="AX24" s="56"/>
      <c r="AY24" s="56"/>
      <c r="AZ24" s="61"/>
    </row>
    <row r="25" spans="2:52" x14ac:dyDescent="0.2">
      <c r="C25" s="117"/>
      <c r="D25" s="118"/>
      <c r="E25" s="118"/>
      <c r="F25" s="118"/>
      <c r="G25" s="118"/>
      <c r="H25" s="118"/>
      <c r="O25" s="84" t="s">
        <v>202</v>
      </c>
      <c r="Z25" s="85"/>
      <c r="AA25" s="45" t="s">
        <v>237</v>
      </c>
      <c r="AN25" s="45" t="s">
        <v>206</v>
      </c>
      <c r="AZ25" s="60"/>
    </row>
    <row r="26" spans="2:52" x14ac:dyDescent="0.2">
      <c r="B26" s="69"/>
      <c r="C26" s="119"/>
      <c r="D26" s="118"/>
      <c r="E26" s="120"/>
      <c r="F26" s="120"/>
      <c r="G26" s="120"/>
      <c r="H26" s="120"/>
      <c r="O26" s="226" t="str">
        <f>IF(ISBLANK('Start Here'!B16),"",'Start Here'!B16)</f>
        <v/>
      </c>
      <c r="Q26" s="125"/>
      <c r="R26" s="125"/>
      <c r="S26" s="62" t="s">
        <v>195</v>
      </c>
      <c r="Z26" s="85"/>
      <c r="AE26" s="69"/>
      <c r="AZ26" s="60"/>
    </row>
    <row r="27" spans="2:52" x14ac:dyDescent="0.2">
      <c r="L27" s="51"/>
      <c r="O27" s="8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87"/>
      <c r="AZ27" s="60"/>
    </row>
    <row r="28" spans="2:52" x14ac:dyDescent="0.2">
      <c r="L28" s="132"/>
      <c r="O28" s="82" t="s">
        <v>204</v>
      </c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83"/>
      <c r="AA28" s="45" t="s">
        <v>207</v>
      </c>
      <c r="AN28" s="45" t="s">
        <v>209</v>
      </c>
      <c r="AZ28" s="60"/>
    </row>
    <row r="29" spans="2:52" x14ac:dyDescent="0.2">
      <c r="L29" s="132"/>
      <c r="O29" s="226" t="str">
        <f>IF(ISBLANK('Start Here'!B17),"",'Start Here'!B17)</f>
        <v/>
      </c>
      <c r="Q29" s="125"/>
      <c r="R29" s="125"/>
      <c r="S29" s="62" t="s">
        <v>195</v>
      </c>
      <c r="V29" s="128"/>
      <c r="W29" s="128"/>
      <c r="X29" s="62"/>
      <c r="Z29" s="85"/>
      <c r="AZ29" s="60"/>
    </row>
    <row r="30" spans="2:52" x14ac:dyDescent="0.2">
      <c r="L30" s="132"/>
      <c r="O30" s="8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87"/>
      <c r="AE30" s="69"/>
      <c r="AZ30" s="60"/>
    </row>
    <row r="31" spans="2:52" x14ac:dyDescent="0.2">
      <c r="L31" s="132"/>
      <c r="O31" s="82" t="s">
        <v>308</v>
      </c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83"/>
      <c r="AZ31" s="60"/>
    </row>
    <row r="32" spans="2:52" x14ac:dyDescent="0.2">
      <c r="L32" s="132"/>
      <c r="O32" s="497" t="str">
        <f>(IF(ISBLANK('Start Here'!B18),"",'Start Here'!B18))&amp;" "&amp;"| "&amp;(IF(ISBLANK('Start Here'!B19),"",'Start Here'!B19))</f>
        <v xml:space="preserve"> | </v>
      </c>
      <c r="P32" s="498"/>
      <c r="Q32" s="498"/>
      <c r="R32" s="498"/>
      <c r="S32" s="62" t="s">
        <v>195</v>
      </c>
      <c r="V32" s="125"/>
      <c r="W32" s="125"/>
      <c r="X32" s="62"/>
      <c r="Z32" s="85"/>
      <c r="AA32" s="45" t="s">
        <v>208</v>
      </c>
      <c r="AN32" s="140"/>
      <c r="AZ32" s="60"/>
    </row>
    <row r="33" spans="1:52" x14ac:dyDescent="0.2">
      <c r="L33" s="132"/>
      <c r="O33" s="8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87"/>
      <c r="AZ33" s="60"/>
    </row>
    <row r="34" spans="1:52" x14ac:dyDescent="0.2">
      <c r="L34" s="132"/>
      <c r="O34" s="82" t="s">
        <v>125</v>
      </c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83"/>
      <c r="AZ34" s="60"/>
    </row>
    <row r="35" spans="1:52" x14ac:dyDescent="0.2">
      <c r="A35" s="69"/>
      <c r="H35" s="69"/>
      <c r="L35" s="132"/>
      <c r="O35" s="84"/>
      <c r="P35" s="125" t="str">
        <f>IF(ISBLANK('Start Here'!B20),"",'Start Here'!B20)</f>
        <v/>
      </c>
      <c r="Q35" s="125"/>
      <c r="R35" s="125"/>
      <c r="S35" s="62" t="s">
        <v>195</v>
      </c>
      <c r="V35" s="125"/>
      <c r="W35" s="125"/>
      <c r="X35" s="62"/>
      <c r="Z35" s="85"/>
      <c r="AN35" s="140"/>
      <c r="AZ35" s="60"/>
    </row>
    <row r="36" spans="1:52" ht="13.5" thickBot="1" x14ac:dyDescent="0.25">
      <c r="A36" s="78"/>
      <c r="B36" s="489"/>
      <c r="C36" s="489"/>
      <c r="D36" s="489"/>
      <c r="E36" s="489"/>
      <c r="F36" s="489"/>
      <c r="I36" s="78"/>
      <c r="J36" s="123"/>
      <c r="K36" s="122"/>
      <c r="L36" s="122"/>
      <c r="M36" s="122"/>
      <c r="O36" s="129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1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73"/>
    </row>
    <row r="37" spans="1:52" ht="12.75" customHeight="1" thickTop="1" x14ac:dyDescent="0.2">
      <c r="I37" s="78"/>
      <c r="J37" s="123"/>
      <c r="K37" s="122"/>
      <c r="L37" s="122"/>
      <c r="M37" s="122"/>
      <c r="O37" s="75" t="s">
        <v>253</v>
      </c>
      <c r="AZ37" s="60"/>
    </row>
    <row r="38" spans="1:52" x14ac:dyDescent="0.2">
      <c r="A38" s="78"/>
      <c r="I38" s="78"/>
      <c r="J38" s="123"/>
      <c r="K38" s="122"/>
      <c r="L38" s="122"/>
      <c r="M38" s="122"/>
      <c r="O38" s="490" t="s">
        <v>245</v>
      </c>
      <c r="P38" s="491"/>
      <c r="Q38" s="491"/>
      <c r="R38" s="491"/>
      <c r="S38" s="491"/>
      <c r="T38" s="491"/>
      <c r="U38" s="491"/>
      <c r="V38" s="491"/>
      <c r="W38" s="491"/>
      <c r="X38" s="491"/>
      <c r="Y38" s="491"/>
      <c r="Z38" s="491"/>
      <c r="AA38" s="491"/>
      <c r="AB38" s="491"/>
      <c r="AC38" s="491"/>
      <c r="AD38" s="495" t="s">
        <v>252</v>
      </c>
      <c r="AE38" s="495"/>
      <c r="AF38" s="495"/>
      <c r="AG38" s="495"/>
      <c r="AH38" s="495"/>
      <c r="AI38" s="495"/>
      <c r="AJ38" s="495"/>
      <c r="AK38" s="495"/>
      <c r="AL38" s="495"/>
      <c r="AM38" s="495"/>
      <c r="AN38" s="495"/>
      <c r="AO38" s="495"/>
      <c r="AP38" s="495"/>
      <c r="AQ38" s="495"/>
      <c r="AR38" s="495"/>
      <c r="AS38" s="495"/>
      <c r="AT38" s="495"/>
      <c r="AU38" s="495"/>
      <c r="AV38" s="495"/>
      <c r="AW38" s="495"/>
      <c r="AX38" s="495"/>
      <c r="AY38" s="495"/>
      <c r="AZ38" s="496"/>
    </row>
    <row r="39" spans="1:52" ht="15" customHeight="1" x14ac:dyDescent="0.2">
      <c r="I39" s="78"/>
      <c r="J39" s="123"/>
      <c r="K39" s="122"/>
      <c r="L39" s="122"/>
      <c r="M39" s="122"/>
      <c r="O39" s="515" t="s">
        <v>246</v>
      </c>
      <c r="P39" s="500"/>
      <c r="Q39" s="500"/>
      <c r="R39" s="500"/>
      <c r="S39" s="500"/>
      <c r="T39" s="500"/>
      <c r="U39" s="516"/>
      <c r="V39" s="499" t="s">
        <v>247</v>
      </c>
      <c r="W39" s="500"/>
      <c r="X39" s="500"/>
      <c r="Y39" s="500"/>
      <c r="Z39" s="500"/>
      <c r="AA39" s="500"/>
      <c r="AB39" s="500"/>
      <c r="AC39" s="501"/>
      <c r="AH39" s="502" t="s">
        <v>246</v>
      </c>
      <c r="AI39" s="502"/>
      <c r="AJ39" s="502"/>
      <c r="AK39" s="502"/>
      <c r="AL39" s="502"/>
      <c r="AM39" s="502"/>
      <c r="AN39" s="78"/>
      <c r="AO39" s="502" t="s">
        <v>247</v>
      </c>
      <c r="AP39" s="502"/>
      <c r="AQ39" s="502"/>
      <c r="AR39" s="502"/>
      <c r="AS39" s="502"/>
      <c r="AT39" s="502"/>
      <c r="AU39" s="502"/>
      <c r="AV39" s="502"/>
      <c r="AW39" s="502"/>
      <c r="AX39" s="502"/>
      <c r="AY39" s="78"/>
      <c r="AZ39" s="93"/>
    </row>
    <row r="40" spans="1:52" x14ac:dyDescent="0.2">
      <c r="A40" s="78"/>
      <c r="B40" s="489"/>
      <c r="C40" s="489"/>
      <c r="D40" s="489"/>
      <c r="E40" s="489"/>
      <c r="F40" s="489"/>
      <c r="I40" s="78"/>
      <c r="J40" s="123"/>
      <c r="K40" s="122"/>
      <c r="L40" s="122"/>
      <c r="M40" s="122"/>
      <c r="O40" s="517" t="s">
        <v>204</v>
      </c>
      <c r="P40" s="503"/>
      <c r="Q40" s="503"/>
      <c r="R40" s="503" t="s">
        <v>248</v>
      </c>
      <c r="S40" s="503"/>
      <c r="T40" s="503"/>
      <c r="U40" s="548"/>
      <c r="V40" s="549" t="s">
        <v>204</v>
      </c>
      <c r="W40" s="503"/>
      <c r="X40" s="503"/>
      <c r="Y40" s="503"/>
      <c r="Z40" s="503" t="s">
        <v>248</v>
      </c>
      <c r="AA40" s="503"/>
      <c r="AB40" s="503"/>
      <c r="AC40" s="504"/>
      <c r="AG40" s="78"/>
      <c r="AH40" s="523" t="s">
        <v>229</v>
      </c>
      <c r="AI40" s="523"/>
      <c r="AJ40" s="523"/>
      <c r="AK40" s="520" t="s">
        <v>230</v>
      </c>
      <c r="AL40" s="520"/>
      <c r="AM40" s="520"/>
      <c r="AN40" s="78"/>
      <c r="AO40" s="78"/>
      <c r="AP40" s="78" t="s">
        <v>229</v>
      </c>
      <c r="AQ40" s="78"/>
      <c r="AR40" s="78"/>
      <c r="AS40" s="78"/>
      <c r="AT40" s="520" t="s">
        <v>230</v>
      </c>
      <c r="AU40" s="520"/>
      <c r="AV40" s="520"/>
      <c r="AW40" s="520"/>
      <c r="AX40" s="520"/>
      <c r="AZ40" s="60"/>
    </row>
    <row r="41" spans="1:52" ht="12.75" customHeight="1" x14ac:dyDescent="0.2">
      <c r="I41" s="78"/>
      <c r="J41" s="123"/>
      <c r="K41" s="122"/>
      <c r="L41" s="122"/>
      <c r="M41" s="122"/>
      <c r="O41" s="505">
        <f>IF(ISBLANK(J9),"",J9)</f>
        <v>108.5</v>
      </c>
      <c r="P41" s="506"/>
      <c r="Q41" s="507"/>
      <c r="R41" s="511">
        <f>IF(ISBLANK(K9),"",K9)</f>
        <v>100</v>
      </c>
      <c r="S41" s="511"/>
      <c r="T41" s="511"/>
      <c r="U41" s="512"/>
      <c r="V41" s="513"/>
      <c r="W41" s="514"/>
      <c r="X41" s="514"/>
      <c r="Y41" s="514"/>
      <c r="Z41" s="514"/>
      <c r="AA41" s="514"/>
      <c r="AB41" s="514"/>
      <c r="AC41" s="514"/>
      <c r="AD41" s="78" t="s">
        <v>224</v>
      </c>
      <c r="AE41" s="78"/>
      <c r="AG41" s="78"/>
      <c r="AH41" s="521" t="e">
        <f>IF(ISBLANK(L9),"",L9)</f>
        <v>#VALUE!</v>
      </c>
      <c r="AI41" s="521"/>
      <c r="AJ41" s="521"/>
      <c r="AK41" s="521" t="e">
        <f>IF(ISBLANK(M9),"",M9)</f>
        <v>#VALUE!</v>
      </c>
      <c r="AL41" s="521"/>
      <c r="AM41" s="521"/>
      <c r="AN41" s="78"/>
      <c r="AO41" s="519"/>
      <c r="AP41" s="519"/>
      <c r="AQ41" s="519"/>
      <c r="AR41" s="519"/>
      <c r="AS41" s="519"/>
      <c r="AT41" s="550"/>
      <c r="AU41" s="550"/>
      <c r="AV41" s="550"/>
      <c r="AW41" s="550"/>
      <c r="AX41" s="550"/>
      <c r="AZ41" s="60"/>
    </row>
    <row r="42" spans="1:52" ht="12.75" customHeight="1" x14ac:dyDescent="0.2">
      <c r="A42" s="78"/>
      <c r="B42" s="489"/>
      <c r="C42" s="489"/>
      <c r="D42" s="489"/>
      <c r="E42" s="489"/>
      <c r="I42" s="78"/>
      <c r="J42" s="123"/>
      <c r="O42" s="508"/>
      <c r="P42" s="509"/>
      <c r="Q42" s="510"/>
      <c r="R42" s="511"/>
      <c r="S42" s="511"/>
      <c r="T42" s="511"/>
      <c r="U42" s="512"/>
      <c r="V42" s="513"/>
      <c r="W42" s="514"/>
      <c r="X42" s="514"/>
      <c r="Y42" s="514"/>
      <c r="Z42" s="514"/>
      <c r="AA42" s="514"/>
      <c r="AB42" s="514"/>
      <c r="AC42" s="514"/>
      <c r="AH42" s="521"/>
      <c r="AI42" s="521"/>
      <c r="AJ42" s="521"/>
      <c r="AK42" s="521"/>
      <c r="AL42" s="521"/>
      <c r="AM42" s="521"/>
      <c r="AN42" s="78"/>
      <c r="AO42" s="519"/>
      <c r="AP42" s="519"/>
      <c r="AQ42" s="519"/>
      <c r="AR42" s="519"/>
      <c r="AS42" s="519"/>
      <c r="AT42" s="519"/>
      <c r="AU42" s="519"/>
      <c r="AV42" s="519"/>
      <c r="AW42" s="519"/>
      <c r="AX42" s="519"/>
      <c r="AZ42" s="60"/>
    </row>
    <row r="43" spans="1:52" ht="12.75" customHeight="1" x14ac:dyDescent="0.2">
      <c r="B43" s="489"/>
      <c r="C43" s="489"/>
      <c r="D43" s="489"/>
      <c r="E43" s="489"/>
      <c r="I43" s="78"/>
      <c r="J43" s="123"/>
      <c r="K43" s="122"/>
      <c r="L43" s="122"/>
      <c r="M43" s="122"/>
      <c r="O43" s="76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D43" s="78" t="s">
        <v>249</v>
      </c>
      <c r="AE43" s="78"/>
      <c r="AG43" s="78"/>
      <c r="AH43" s="521" t="e">
        <f>IF(ISBLANK(L11),"",L11)</f>
        <v>#VALUE!</v>
      </c>
      <c r="AI43" s="521"/>
      <c r="AJ43" s="521"/>
      <c r="AK43" s="521" t="e">
        <f>IF(ISBLANK(M11),"",M11)</f>
        <v>#VALUE!</v>
      </c>
      <c r="AL43" s="521"/>
      <c r="AM43" s="521"/>
      <c r="AN43" s="78"/>
      <c r="AO43" s="519"/>
      <c r="AP43" s="519"/>
      <c r="AQ43" s="519"/>
      <c r="AR43" s="519"/>
      <c r="AS43" s="519"/>
      <c r="AT43" s="519"/>
      <c r="AU43" s="519"/>
      <c r="AV43" s="519"/>
      <c r="AW43" s="519"/>
      <c r="AX43" s="519"/>
      <c r="AZ43" s="60"/>
    </row>
    <row r="44" spans="1:52" x14ac:dyDescent="0.2">
      <c r="I44" s="78"/>
      <c r="J44" s="123"/>
      <c r="K44" s="122"/>
      <c r="L44" s="122"/>
      <c r="M44" s="122"/>
      <c r="O44" s="76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H44" s="521"/>
      <c r="AI44" s="521"/>
      <c r="AJ44" s="521"/>
      <c r="AK44" s="521"/>
      <c r="AL44" s="521"/>
      <c r="AM44" s="521"/>
      <c r="AN44" s="78"/>
      <c r="AO44" s="519"/>
      <c r="AP44" s="519"/>
      <c r="AQ44" s="519"/>
      <c r="AR44" s="519"/>
      <c r="AS44" s="519"/>
      <c r="AT44" s="519"/>
      <c r="AU44" s="519"/>
      <c r="AV44" s="519"/>
      <c r="AW44" s="519"/>
      <c r="AX44" s="519"/>
      <c r="AZ44" s="60"/>
    </row>
    <row r="45" spans="1:52" x14ac:dyDescent="0.2">
      <c r="A45" s="78"/>
      <c r="B45" s="489"/>
      <c r="C45" s="489"/>
      <c r="D45" s="489"/>
      <c r="E45" s="489"/>
      <c r="I45" s="78"/>
      <c r="J45" s="123"/>
      <c r="K45" s="122"/>
      <c r="L45" s="122"/>
      <c r="M45" s="122"/>
      <c r="O45" s="76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 t="s">
        <v>250</v>
      </c>
      <c r="AE45" s="78"/>
      <c r="AG45" s="78"/>
      <c r="AH45" s="522"/>
      <c r="AI45" s="522"/>
      <c r="AJ45" s="522"/>
      <c r="AK45" s="521" t="e">
        <f>IF(ISBLANK(M15),"",M15)</f>
        <v>#VALUE!</v>
      </c>
      <c r="AL45" s="521"/>
      <c r="AM45" s="521"/>
      <c r="AN45" s="78"/>
      <c r="AO45" s="518"/>
      <c r="AP45" s="518"/>
      <c r="AQ45" s="518"/>
      <c r="AR45" s="518"/>
      <c r="AS45" s="518"/>
      <c r="AT45" s="519"/>
      <c r="AU45" s="519"/>
      <c r="AV45" s="519"/>
      <c r="AW45" s="519"/>
      <c r="AX45" s="519"/>
      <c r="AZ45" s="60"/>
    </row>
    <row r="46" spans="1:52" ht="12.75" customHeight="1" x14ac:dyDescent="0.2">
      <c r="B46" s="489"/>
      <c r="C46" s="489"/>
      <c r="D46" s="489"/>
      <c r="E46" s="489"/>
      <c r="I46" s="78"/>
      <c r="J46" s="123"/>
      <c r="K46" s="122"/>
      <c r="L46" s="122"/>
      <c r="M46" s="122"/>
      <c r="O46" s="76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H46" s="522"/>
      <c r="AI46" s="522"/>
      <c r="AJ46" s="522"/>
      <c r="AK46" s="521"/>
      <c r="AL46" s="521"/>
      <c r="AM46" s="521"/>
      <c r="AN46" s="78"/>
      <c r="AO46" s="518"/>
      <c r="AP46" s="518"/>
      <c r="AQ46" s="518"/>
      <c r="AR46" s="518"/>
      <c r="AS46" s="518"/>
      <c r="AT46" s="519"/>
      <c r="AU46" s="519"/>
      <c r="AV46" s="519"/>
      <c r="AW46" s="519"/>
      <c r="AX46" s="519"/>
      <c r="AZ46" s="60"/>
    </row>
    <row r="47" spans="1:52" x14ac:dyDescent="0.2">
      <c r="I47" s="78"/>
      <c r="J47" s="123"/>
      <c r="K47" s="122"/>
      <c r="L47" s="122"/>
      <c r="M47" s="122"/>
      <c r="O47" s="76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 t="s">
        <v>251</v>
      </c>
      <c r="AE47" s="78"/>
      <c r="AG47" s="78"/>
      <c r="AH47" s="522"/>
      <c r="AI47" s="522"/>
      <c r="AJ47" s="522"/>
      <c r="AK47" s="521" t="e">
        <f>IF(ISBLANK(M18),"",M18)</f>
        <v>#VALUE!</v>
      </c>
      <c r="AL47" s="521"/>
      <c r="AM47" s="521"/>
      <c r="AN47" s="78"/>
      <c r="AO47" s="518"/>
      <c r="AP47" s="518"/>
      <c r="AQ47" s="518"/>
      <c r="AR47" s="518"/>
      <c r="AS47" s="518"/>
      <c r="AT47" s="519"/>
      <c r="AU47" s="519"/>
      <c r="AV47" s="519"/>
      <c r="AW47" s="519"/>
      <c r="AX47" s="519"/>
      <c r="AZ47" s="60"/>
    </row>
    <row r="48" spans="1:52" x14ac:dyDescent="0.2">
      <c r="I48" s="78"/>
      <c r="J48" s="123"/>
      <c r="O48" s="76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H48" s="522"/>
      <c r="AI48" s="522"/>
      <c r="AJ48" s="522"/>
      <c r="AK48" s="521"/>
      <c r="AL48" s="521"/>
      <c r="AM48" s="521"/>
      <c r="AN48" s="78"/>
      <c r="AO48" s="518"/>
      <c r="AP48" s="518"/>
      <c r="AQ48" s="518"/>
      <c r="AR48" s="518"/>
      <c r="AS48" s="518"/>
      <c r="AT48" s="519"/>
      <c r="AU48" s="519"/>
      <c r="AV48" s="519"/>
      <c r="AW48" s="519"/>
      <c r="AX48" s="519"/>
      <c r="AZ48" s="60"/>
    </row>
    <row r="49" spans="2:96" x14ac:dyDescent="0.2">
      <c r="J49" s="122"/>
      <c r="K49" s="122"/>
      <c r="L49" s="122"/>
      <c r="M49" s="122"/>
      <c r="O49" s="79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66"/>
      <c r="AF49" s="66"/>
      <c r="AG49" s="66"/>
      <c r="AH49" s="66"/>
      <c r="AI49" s="66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99"/>
    </row>
    <row r="50" spans="2:96" x14ac:dyDescent="0.2">
      <c r="O50" s="153" t="s">
        <v>276</v>
      </c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3"/>
    </row>
    <row r="51" spans="2:96" x14ac:dyDescent="0.2">
      <c r="K51" s="98"/>
      <c r="L51" s="98"/>
      <c r="M51" s="98"/>
      <c r="O51" s="76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3"/>
    </row>
    <row r="52" spans="2:96" x14ac:dyDescent="0.2">
      <c r="K52" s="98"/>
      <c r="L52" s="98"/>
      <c r="M52" s="98"/>
      <c r="O52" s="76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3"/>
    </row>
    <row r="53" spans="2:96" x14ac:dyDescent="0.2">
      <c r="B53" s="98"/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  <c r="O53" s="76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3"/>
    </row>
    <row r="54" spans="2:96" x14ac:dyDescent="0.2">
      <c r="B54" s="471" t="s">
        <v>234</v>
      </c>
      <c r="C54" s="471"/>
      <c r="D54" s="471"/>
      <c r="E54" s="81"/>
      <c r="F54" s="81"/>
      <c r="G54" s="81"/>
      <c r="H54" s="81"/>
      <c r="I54" s="81"/>
      <c r="J54" s="81"/>
      <c r="O54" s="76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3"/>
    </row>
    <row r="55" spans="2:96" x14ac:dyDescent="0.2">
      <c r="E55" s="98"/>
      <c r="F55" s="98"/>
      <c r="G55" s="98"/>
      <c r="H55" s="98"/>
      <c r="I55" s="98"/>
      <c r="J55" s="98"/>
      <c r="O55" s="76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3"/>
    </row>
    <row r="56" spans="2:96" x14ac:dyDescent="0.2">
      <c r="B56" s="472" t="s">
        <v>235</v>
      </c>
      <c r="C56" s="472"/>
      <c r="D56" s="472"/>
      <c r="E56" s="213"/>
      <c r="F56" s="213"/>
      <c r="G56" s="213"/>
      <c r="H56" s="213"/>
      <c r="I56" s="213"/>
      <c r="J56" s="213"/>
      <c r="O56" s="76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3"/>
    </row>
    <row r="57" spans="2:96" x14ac:dyDescent="0.2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O57" s="76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3"/>
    </row>
    <row r="58" spans="2:96" x14ac:dyDescent="0.2">
      <c r="B58" s="94" t="s">
        <v>233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6"/>
      <c r="O58" s="76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3"/>
    </row>
    <row r="59" spans="2:96" x14ac:dyDescent="0.2">
      <c r="B59" s="214"/>
      <c r="C59" s="215"/>
      <c r="D59" s="216"/>
      <c r="E59" s="216"/>
      <c r="F59" s="216"/>
      <c r="G59" s="216"/>
      <c r="H59" s="216"/>
      <c r="I59" s="216"/>
      <c r="J59" s="216"/>
      <c r="K59" s="216"/>
      <c r="L59" s="216"/>
      <c r="M59" s="217"/>
      <c r="O59" s="76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3"/>
    </row>
    <row r="60" spans="2:96" ht="15" x14ac:dyDescent="0.25">
      <c r="B60" s="214"/>
      <c r="C60" s="215"/>
      <c r="D60" s="216"/>
      <c r="E60" s="216"/>
      <c r="F60" s="216"/>
      <c r="G60" s="216"/>
      <c r="H60" s="216"/>
      <c r="I60" s="216"/>
      <c r="J60" s="216"/>
      <c r="K60" s="216"/>
      <c r="L60" s="216"/>
      <c r="M60" s="217"/>
      <c r="O60" s="76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3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</row>
    <row r="61" spans="2:96" ht="15" x14ac:dyDescent="0.25">
      <c r="B61" s="248"/>
      <c r="C61" s="66"/>
      <c r="D61" s="81"/>
      <c r="E61" s="81"/>
      <c r="F61" s="81"/>
      <c r="G61" s="81"/>
      <c r="H61" s="66"/>
      <c r="I61" s="66"/>
      <c r="J61" s="66"/>
      <c r="K61" s="66"/>
      <c r="L61" s="66"/>
      <c r="M61" s="67"/>
      <c r="O61" s="79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99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</row>
    <row r="62" spans="2:96" ht="15" x14ac:dyDescent="0.25"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</row>
    <row r="63" spans="2:96" ht="15.75" x14ac:dyDescent="0.25">
      <c r="B63" s="100"/>
      <c r="C63" s="464"/>
      <c r="D63" s="464"/>
      <c r="G63" s="133"/>
      <c r="H63" s="465"/>
      <c r="I63" s="465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</row>
    <row r="64" spans="2:96" ht="15.75" x14ac:dyDescent="0.25">
      <c r="B64" s="100"/>
      <c r="C64" s="359"/>
      <c r="D64" s="359"/>
      <c r="G64" s="133"/>
      <c r="H64" s="239"/>
      <c r="I64" s="239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</row>
    <row r="65" spans="2:96" ht="15.75" x14ac:dyDescent="0.25">
      <c r="B65" s="100"/>
      <c r="C65" s="359"/>
      <c r="D65" s="359"/>
      <c r="G65" s="133"/>
      <c r="H65" s="239"/>
      <c r="I65" s="239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</row>
    <row r="66" spans="2:96" ht="15.75" x14ac:dyDescent="0.25">
      <c r="B66" s="100"/>
      <c r="C66" s="49"/>
      <c r="G66" s="133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 s="157" t="s">
        <v>804</v>
      </c>
      <c r="AR66"/>
      <c r="AS66"/>
      <c r="AT66"/>
      <c r="AU66"/>
      <c r="AV66"/>
      <c r="AW66"/>
      <c r="AX66"/>
      <c r="AY66"/>
      <c r="AZ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</row>
    <row r="67" spans="2:96" ht="15.75" x14ac:dyDescent="0.25">
      <c r="B67" s="100"/>
      <c r="C67" s="50"/>
      <c r="G67" s="133"/>
      <c r="O67" s="551" t="s">
        <v>651</v>
      </c>
      <c r="P67" s="551"/>
      <c r="Q67" s="551"/>
      <c r="R67" s="551"/>
      <c r="S67" s="551"/>
      <c r="T67" s="551"/>
      <c r="U67" s="551"/>
      <c r="V67" s="551"/>
      <c r="W67" s="551"/>
      <c r="X67" s="551"/>
      <c r="Y67" s="551"/>
      <c r="Z67" s="551"/>
      <c r="AA67" s="551"/>
      <c r="AB67" s="551"/>
      <c r="AC67" s="551"/>
      <c r="AD67" s="551"/>
      <c r="AE67" s="551"/>
      <c r="AF67" s="551"/>
      <c r="AG67" s="551"/>
      <c r="AH67" s="551"/>
      <c r="AI67" s="551"/>
      <c r="AJ67" s="551"/>
      <c r="AK67" s="551"/>
      <c r="AL67" s="551"/>
      <c r="AM67" s="551"/>
      <c r="AN67" s="551"/>
      <c r="AO67" s="551"/>
      <c r="AP67" s="551"/>
      <c r="AQ67" s="551"/>
      <c r="AR67" s="551"/>
      <c r="AS67" s="551"/>
      <c r="AT67" s="551"/>
      <c r="AU67" s="551"/>
      <c r="AV67" s="551"/>
      <c r="AW67" s="551"/>
      <c r="AX67" s="551"/>
      <c r="AY67" s="551"/>
      <c r="AZ67" s="551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</row>
    <row r="68" spans="2:96" ht="15.75" x14ac:dyDescent="0.25">
      <c r="B68" s="100"/>
      <c r="C68" s="49"/>
      <c r="D68" s="49"/>
      <c r="E68" s="49"/>
      <c r="F68" s="49"/>
      <c r="G68" s="49"/>
      <c r="K68" s="49"/>
      <c r="O68" s="249"/>
      <c r="P68" s="249"/>
      <c r="Q68" s="249"/>
      <c r="R68" s="249"/>
      <c r="S68" s="249"/>
      <c r="T68" s="249"/>
      <c r="U68" s="249" t="s">
        <v>179</v>
      </c>
      <c r="V68" s="249"/>
      <c r="W68" s="249"/>
      <c r="X68" s="66"/>
      <c r="Y68" s="66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0"/>
      <c r="AK68" s="250"/>
      <c r="AL68" s="250"/>
      <c r="AM68" s="250"/>
      <c r="AN68" s="250"/>
      <c r="AO68" s="250"/>
      <c r="AP68" s="250"/>
      <c r="AQ68" s="250"/>
      <c r="AR68" s="66"/>
      <c r="AS68" s="250"/>
      <c r="AT68" s="250"/>
      <c r="AU68" s="249"/>
      <c r="AV68" s="249"/>
      <c r="AW68" s="249"/>
      <c r="AX68" s="249"/>
      <c r="AY68" s="249"/>
      <c r="AZ68" s="249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</row>
    <row r="69" spans="2:96" ht="15.75" x14ac:dyDescent="0.25">
      <c r="B69" s="244"/>
      <c r="J69" s="69"/>
      <c r="K69" s="69"/>
      <c r="L69" s="69"/>
      <c r="M69" s="69"/>
      <c r="O69" s="249"/>
      <c r="P69" s="249"/>
      <c r="Q69" s="249"/>
      <c r="R69" s="249"/>
      <c r="S69" s="249"/>
      <c r="T69" s="249"/>
      <c r="U69" s="249" t="s">
        <v>336</v>
      </c>
      <c r="V69" s="249"/>
      <c r="W69" s="249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47"/>
      <c r="AS69" s="251"/>
      <c r="AT69" s="251"/>
      <c r="AU69" s="249"/>
      <c r="AV69" s="249"/>
      <c r="AW69" s="249"/>
      <c r="AX69" s="249"/>
      <c r="AY69" s="249"/>
      <c r="AZ69" s="24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</row>
    <row r="70" spans="2:96" ht="15.75" x14ac:dyDescent="0.25">
      <c r="B70" s="244"/>
      <c r="C70" s="132"/>
      <c r="D70" s="132"/>
      <c r="E70" s="132"/>
      <c r="F70" s="132"/>
      <c r="G70" s="132"/>
      <c r="H70" s="132"/>
      <c r="J70" s="132"/>
      <c r="K70" s="132"/>
      <c r="L70" s="132"/>
      <c r="M70" s="132"/>
      <c r="O70" s="249"/>
      <c r="P70" s="249"/>
      <c r="Q70" s="249"/>
      <c r="R70" s="249"/>
      <c r="S70" s="249"/>
      <c r="T70" s="249"/>
      <c r="U70" s="249" t="s">
        <v>574</v>
      </c>
      <c r="V70" s="249"/>
      <c r="W70" s="249"/>
      <c r="Z70" s="249"/>
      <c r="AA70" s="249"/>
      <c r="AB70" s="249"/>
      <c r="AC70" s="249"/>
      <c r="AD70" s="251"/>
      <c r="AE70" s="251"/>
      <c r="AF70" s="251"/>
      <c r="AG70" s="251"/>
      <c r="AH70" s="251"/>
      <c r="AI70" s="251"/>
      <c r="AJ70" s="251"/>
      <c r="AK70" s="251"/>
      <c r="AL70" s="251"/>
      <c r="AM70" s="251"/>
      <c r="AN70" s="251"/>
      <c r="AO70" s="251"/>
      <c r="AP70" s="251"/>
      <c r="AQ70" s="251"/>
      <c r="AR70" s="47"/>
      <c r="AS70" s="251"/>
      <c r="AT70" s="251"/>
      <c r="AU70" s="249"/>
      <c r="AV70" s="249"/>
      <c r="AW70" s="249"/>
      <c r="AX70" s="249"/>
      <c r="AY70" s="249"/>
      <c r="AZ70" s="249"/>
      <c r="BA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</row>
    <row r="71" spans="2:96" ht="12.75" customHeight="1" thickBot="1" x14ac:dyDescent="0.3">
      <c r="B71" s="239"/>
      <c r="C71" s="117"/>
      <c r="D71" s="117"/>
      <c r="E71" s="118"/>
      <c r="F71" s="118"/>
      <c r="G71" s="118"/>
      <c r="H71" s="118"/>
      <c r="J71" s="78"/>
      <c r="K71" s="78"/>
      <c r="L71" s="78"/>
      <c r="M71" s="78"/>
      <c r="O71"/>
      <c r="P71" s="256" t="s">
        <v>337</v>
      </c>
      <c r="S71" s="252"/>
      <c r="T71" s="252"/>
      <c r="U71" s="252"/>
      <c r="V71" s="252"/>
      <c r="AI71" s="256"/>
      <c r="AJ71" s="256" t="s">
        <v>356</v>
      </c>
      <c r="AL71" s="252"/>
      <c r="AM71" s="252"/>
      <c r="AN71" s="252"/>
      <c r="AO71" s="252"/>
      <c r="AW71" s="257"/>
      <c r="AX71" s="257"/>
      <c r="AY71" s="257"/>
      <c r="BA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2:96" ht="12.75" customHeight="1" thickBot="1" x14ac:dyDescent="0.3">
      <c r="B72" s="239"/>
      <c r="C72" s="117"/>
      <c r="D72" s="117"/>
      <c r="E72" s="118"/>
      <c r="F72" s="118"/>
      <c r="G72" s="118"/>
      <c r="H72" s="118"/>
      <c r="J72" s="78"/>
      <c r="K72" s="78"/>
      <c r="L72" s="78"/>
      <c r="M72" s="78"/>
      <c r="O72"/>
      <c r="AL72" s="434" t="s">
        <v>343</v>
      </c>
      <c r="AM72" s="435"/>
      <c r="AN72" s="436"/>
      <c r="AO72" s="428" t="s">
        <v>641</v>
      </c>
      <c r="AP72" s="429"/>
      <c r="AQ72" s="429"/>
      <c r="AR72" s="429"/>
      <c r="AS72" s="429"/>
      <c r="AT72" s="429"/>
      <c r="AU72" s="430"/>
      <c r="AW72" s="360"/>
      <c r="AX72" s="361"/>
      <c r="AY72" s="361"/>
      <c r="AZ72" s="260"/>
      <c r="BA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</row>
    <row r="73" spans="2:96" ht="15" customHeight="1" x14ac:dyDescent="0.25">
      <c r="B73" s="133"/>
      <c r="C73" s="117"/>
      <c r="D73" s="240"/>
      <c r="E73" s="117"/>
      <c r="F73" s="240"/>
      <c r="G73" s="117"/>
      <c r="H73" s="241"/>
      <c r="J73" s="118"/>
      <c r="K73" s="118"/>
      <c r="L73" s="117"/>
      <c r="M73" s="117"/>
      <c r="O73"/>
      <c r="S73" s="552" t="s">
        <v>339</v>
      </c>
      <c r="T73" s="388"/>
      <c r="U73" s="553"/>
      <c r="V73" s="387" t="s">
        <v>340</v>
      </c>
      <c r="W73" s="388"/>
      <c r="X73" s="553"/>
      <c r="Y73" s="387" t="s">
        <v>338</v>
      </c>
      <c r="Z73" s="388"/>
      <c r="AA73" s="388"/>
      <c r="AB73" s="389"/>
      <c r="AD73" s="309"/>
      <c r="AE73" s="309" t="s">
        <v>346</v>
      </c>
      <c r="AF73" s="257"/>
      <c r="AG73" s="257"/>
      <c r="AL73" s="416" t="s">
        <v>344</v>
      </c>
      <c r="AM73" s="417"/>
      <c r="AN73" s="418"/>
      <c r="AO73" s="437" t="s">
        <v>642</v>
      </c>
      <c r="AP73" s="438"/>
      <c r="AQ73" s="438"/>
      <c r="AR73" s="438"/>
      <c r="AS73" s="438"/>
      <c r="AT73" s="438"/>
      <c r="AU73" s="439"/>
      <c r="AW73" s="16"/>
      <c r="AX73"/>
      <c r="AY73"/>
      <c r="AZ73" s="286"/>
      <c r="BA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</row>
    <row r="74" spans="2:96" ht="13.5" customHeight="1" x14ac:dyDescent="0.25">
      <c r="B74" s="239"/>
      <c r="C74" s="117"/>
      <c r="D74" s="117"/>
      <c r="E74" s="118"/>
      <c r="F74" s="118"/>
      <c r="G74" s="118"/>
      <c r="H74" s="118"/>
      <c r="J74" s="242"/>
      <c r="K74" s="242"/>
      <c r="L74" s="243"/>
      <c r="M74" s="243"/>
      <c r="O74"/>
      <c r="P74" s="254"/>
      <c r="S74" s="554"/>
      <c r="T74" s="555"/>
      <c r="U74" s="556"/>
      <c r="V74" s="657"/>
      <c r="W74" s="555"/>
      <c r="X74" s="556"/>
      <c r="Y74" s="657"/>
      <c r="Z74" s="555"/>
      <c r="AA74" s="555"/>
      <c r="AB74" s="659"/>
      <c r="AD74" s="309"/>
      <c r="AE74" s="309" t="s">
        <v>347</v>
      </c>
      <c r="AF74" s="257"/>
      <c r="AG74" s="257"/>
      <c r="AI74" s="254"/>
      <c r="AL74" s="381" t="s">
        <v>345</v>
      </c>
      <c r="AM74" s="382"/>
      <c r="AN74" s="383"/>
      <c r="AO74" s="393" t="s">
        <v>643</v>
      </c>
      <c r="AP74" s="394"/>
      <c r="AQ74" s="394"/>
      <c r="AR74" s="394"/>
      <c r="AS74" s="394"/>
      <c r="AT74" s="394"/>
      <c r="AU74" s="395"/>
      <c r="AW74" s="16"/>
      <c r="AX74"/>
      <c r="AY74"/>
      <c r="AZ74" s="286"/>
      <c r="BA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</row>
    <row r="75" spans="2:96" ht="15.75" customHeight="1" thickBot="1" x14ac:dyDescent="0.3">
      <c r="B75" s="133"/>
      <c r="C75" s="117"/>
      <c r="D75" s="240"/>
      <c r="E75" s="117"/>
      <c r="F75" s="240"/>
      <c r="G75" s="117"/>
      <c r="H75" s="241"/>
      <c r="J75" s="118"/>
      <c r="K75" s="118"/>
      <c r="L75" s="117"/>
      <c r="M75" s="117"/>
      <c r="O75"/>
      <c r="S75" s="557"/>
      <c r="T75" s="558"/>
      <c r="U75" s="559"/>
      <c r="V75" s="658"/>
      <c r="W75" s="558"/>
      <c r="X75" s="559"/>
      <c r="Y75" s="658"/>
      <c r="Z75" s="558"/>
      <c r="AA75" s="558"/>
      <c r="AB75" s="660"/>
      <c r="AD75" s="309"/>
      <c r="AE75" s="309" t="s">
        <v>348</v>
      </c>
      <c r="AF75" s="257"/>
      <c r="AG75" s="257"/>
      <c r="AL75" s="384"/>
      <c r="AM75" s="385"/>
      <c r="AN75" s="386"/>
      <c r="AO75" s="431"/>
      <c r="AP75" s="432"/>
      <c r="AQ75" s="432"/>
      <c r="AR75" s="432"/>
      <c r="AS75" s="432"/>
      <c r="AT75" s="432"/>
      <c r="AU75" s="433"/>
      <c r="AW75" s="362"/>
      <c r="AX75" s="34"/>
      <c r="AY75" s="34"/>
      <c r="AZ75" s="363"/>
      <c r="BA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</row>
    <row r="76" spans="2:96" ht="15" customHeight="1" thickTop="1" x14ac:dyDescent="0.25">
      <c r="C76" s="117"/>
      <c r="D76" s="118"/>
      <c r="E76" s="118"/>
      <c r="F76" s="118"/>
      <c r="G76" s="118"/>
      <c r="H76" s="118"/>
      <c r="I76" s="118"/>
      <c r="J76" s="242"/>
      <c r="K76" s="242"/>
      <c r="L76" s="243"/>
      <c r="M76" s="243"/>
      <c r="O76"/>
      <c r="P76" s="257" t="s">
        <v>341</v>
      </c>
      <c r="Q76" s="255"/>
      <c r="R76" s="117"/>
      <c r="S76" s="419" t="s">
        <v>343</v>
      </c>
      <c r="T76" s="420"/>
      <c r="U76" s="421"/>
      <c r="V76" s="422" t="s">
        <v>344</v>
      </c>
      <c r="W76" s="423"/>
      <c r="X76" s="424"/>
      <c r="Y76" s="425" t="s">
        <v>345</v>
      </c>
      <c r="Z76" s="426"/>
      <c r="AA76" s="426"/>
      <c r="AB76" s="427"/>
      <c r="AD76" s="258"/>
      <c r="AE76" s="259"/>
      <c r="AF76" s="259"/>
      <c r="AG76" s="260"/>
      <c r="AI76" s="257"/>
      <c r="AJ76" s="255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</row>
    <row r="77" spans="2:96" ht="15" customHeight="1" thickBot="1" x14ac:dyDescent="0.3">
      <c r="C77" s="117"/>
      <c r="D77" s="118"/>
      <c r="E77" s="118"/>
      <c r="F77" s="118"/>
      <c r="G77" s="118"/>
      <c r="H77" s="118"/>
      <c r="I77" s="118"/>
      <c r="J77" s="242"/>
      <c r="K77" s="242"/>
      <c r="L77" s="243"/>
      <c r="M77" s="243"/>
      <c r="O77"/>
      <c r="P77" s="257" t="s">
        <v>575</v>
      </c>
      <c r="Q77" s="255"/>
      <c r="S77" s="455" t="s">
        <v>343</v>
      </c>
      <c r="T77" s="456"/>
      <c r="U77" s="457"/>
      <c r="V77" s="458" t="s">
        <v>344</v>
      </c>
      <c r="W77" s="459"/>
      <c r="X77" s="460"/>
      <c r="Y77" s="461" t="s">
        <v>345</v>
      </c>
      <c r="Z77" s="462"/>
      <c r="AA77" s="462"/>
      <c r="AB77" s="463"/>
      <c r="AD77" s="84"/>
      <c r="AG77" s="85"/>
      <c r="AI77" s="257"/>
      <c r="AJ77" s="256" t="s">
        <v>359</v>
      </c>
      <c r="AW77"/>
      <c r="AX77"/>
      <c r="AY77"/>
      <c r="AZ77"/>
      <c r="BA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</row>
    <row r="78" spans="2:96" ht="15.75" customHeight="1" x14ac:dyDescent="0.25">
      <c r="C78" s="117"/>
      <c r="D78" s="118"/>
      <c r="E78" s="118"/>
      <c r="F78" s="118"/>
      <c r="G78" s="118"/>
      <c r="H78" s="118"/>
      <c r="I78" s="118"/>
      <c r="J78" s="242"/>
      <c r="K78" s="242"/>
      <c r="L78" s="243"/>
      <c r="M78" s="243"/>
      <c r="O78"/>
      <c r="P78" s="257" t="s">
        <v>342</v>
      </c>
      <c r="Q78" s="255"/>
      <c r="S78" s="455" t="s">
        <v>343</v>
      </c>
      <c r="T78" s="456"/>
      <c r="U78" s="457"/>
      <c r="V78" s="458" t="s">
        <v>344</v>
      </c>
      <c r="W78" s="459"/>
      <c r="X78" s="460"/>
      <c r="Y78" s="461" t="s">
        <v>345</v>
      </c>
      <c r="Z78" s="462"/>
      <c r="AA78" s="462"/>
      <c r="AB78" s="463"/>
      <c r="AD78" s="84"/>
      <c r="AG78" s="85"/>
      <c r="AI78" s="256"/>
      <c r="AJ78" s="256"/>
      <c r="AL78" s="434" t="s">
        <v>343</v>
      </c>
      <c r="AM78" s="435"/>
      <c r="AN78" s="436"/>
      <c r="AO78" s="428" t="s">
        <v>578</v>
      </c>
      <c r="AP78" s="429"/>
      <c r="AQ78" s="429"/>
      <c r="AR78" s="429"/>
      <c r="AS78" s="429"/>
      <c r="AT78" s="429"/>
      <c r="AU78" s="430"/>
      <c r="AW78" s="258"/>
      <c r="AX78" s="259"/>
      <c r="AY78" s="259"/>
      <c r="AZ78" s="260"/>
      <c r="BA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</row>
    <row r="79" spans="2:96" ht="15" customHeight="1" thickBot="1" x14ac:dyDescent="0.3">
      <c r="C79" s="117"/>
      <c r="D79" s="118"/>
      <c r="E79" s="118"/>
      <c r="F79" s="118"/>
      <c r="G79" s="118"/>
      <c r="H79" s="118"/>
      <c r="I79" s="118"/>
      <c r="J79" s="242"/>
      <c r="K79" s="242"/>
      <c r="L79" s="243"/>
      <c r="M79" s="243"/>
      <c r="O79"/>
      <c r="P79" s="257" t="s">
        <v>577</v>
      </c>
      <c r="Q79" s="255"/>
      <c r="S79" s="575" t="s">
        <v>343</v>
      </c>
      <c r="T79" s="576"/>
      <c r="U79" s="577"/>
      <c r="V79" s="578" t="s">
        <v>344</v>
      </c>
      <c r="W79" s="579"/>
      <c r="X79" s="580"/>
      <c r="Y79" s="581" t="s">
        <v>345</v>
      </c>
      <c r="Z79" s="582"/>
      <c r="AA79" s="582"/>
      <c r="AB79" s="583"/>
      <c r="AD79" s="88"/>
      <c r="AE79" s="89"/>
      <c r="AF79" s="89"/>
      <c r="AG79" s="261"/>
      <c r="AI79" s="256"/>
      <c r="AL79" s="416" t="s">
        <v>344</v>
      </c>
      <c r="AM79" s="417"/>
      <c r="AN79" s="418"/>
      <c r="AO79" s="437" t="s">
        <v>579</v>
      </c>
      <c r="AP79" s="438"/>
      <c r="AQ79" s="438"/>
      <c r="AR79" s="438"/>
      <c r="AS79" s="438"/>
      <c r="AT79" s="438"/>
      <c r="AU79" s="439"/>
      <c r="AW79" s="16"/>
      <c r="AX79"/>
      <c r="AY79"/>
      <c r="AZ79" s="286"/>
      <c r="BA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2:96" ht="15" customHeight="1" x14ac:dyDescent="0.25">
      <c r="C80" s="117"/>
      <c r="D80" s="118"/>
      <c r="E80" s="118"/>
      <c r="F80" s="118"/>
      <c r="G80" s="118"/>
      <c r="H80" s="118"/>
      <c r="I80" s="118"/>
      <c r="J80" s="242"/>
      <c r="K80" s="242"/>
      <c r="L80" s="243"/>
      <c r="M80" s="243"/>
      <c r="O80"/>
      <c r="AL80" s="381" t="s">
        <v>345</v>
      </c>
      <c r="AM80" s="382"/>
      <c r="AN80" s="383"/>
      <c r="AO80" s="440" t="s">
        <v>580</v>
      </c>
      <c r="AP80" s="441"/>
      <c r="AQ80" s="441"/>
      <c r="AR80" s="441"/>
      <c r="AS80" s="441"/>
      <c r="AT80" s="441"/>
      <c r="AU80" s="442"/>
      <c r="AW80" s="16"/>
      <c r="AX80"/>
      <c r="AY80"/>
      <c r="AZ80" s="286"/>
      <c r="BA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2:96" ht="15" customHeight="1" thickBot="1" x14ac:dyDescent="0.3">
      <c r="C81" s="117"/>
      <c r="D81" s="118"/>
      <c r="E81" s="118"/>
      <c r="F81" s="118"/>
      <c r="G81" s="118"/>
      <c r="H81" s="118"/>
      <c r="I81" s="118"/>
      <c r="J81" s="242"/>
      <c r="K81" s="242"/>
      <c r="L81" s="243"/>
      <c r="M81" s="243"/>
      <c r="O81"/>
      <c r="P81" s="256" t="s">
        <v>606</v>
      </c>
      <c r="S81" s="252"/>
      <c r="T81" s="252"/>
      <c r="U81" s="252"/>
      <c r="V81" s="252"/>
      <c r="AL81" s="384"/>
      <c r="AM81" s="385"/>
      <c r="AN81" s="386"/>
      <c r="AO81" s="443"/>
      <c r="AP81" s="444"/>
      <c r="AQ81" s="444"/>
      <c r="AR81" s="444"/>
      <c r="AS81" s="444"/>
      <c r="AT81" s="444"/>
      <c r="AU81" s="445"/>
      <c r="AW81" s="362"/>
      <c r="AX81" s="34"/>
      <c r="AY81" s="34"/>
      <c r="AZ81" s="363"/>
      <c r="BA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2:96" ht="12.75" customHeight="1" thickBot="1" x14ac:dyDescent="0.3">
      <c r="C82" s="117"/>
      <c r="D82" s="118"/>
      <c r="E82" s="118"/>
      <c r="F82" s="118"/>
      <c r="G82" s="118"/>
      <c r="H82" s="118"/>
      <c r="I82" s="118"/>
      <c r="J82" s="242"/>
      <c r="K82" s="242"/>
      <c r="L82" s="243"/>
      <c r="M82" s="243"/>
      <c r="O82"/>
      <c r="AI82" s="246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2:96" ht="15" customHeight="1" thickBot="1" x14ac:dyDescent="0.3">
      <c r="C83" s="117"/>
      <c r="D83" s="118"/>
      <c r="E83" s="118"/>
      <c r="F83" s="118"/>
      <c r="G83" s="118"/>
      <c r="H83" s="118"/>
      <c r="I83" s="118"/>
      <c r="J83" s="242"/>
      <c r="K83" s="242"/>
      <c r="L83" s="243"/>
      <c r="M83" s="243"/>
      <c r="O83"/>
      <c r="S83" s="552" t="s">
        <v>352</v>
      </c>
      <c r="T83" s="388"/>
      <c r="U83" s="553"/>
      <c r="V83" s="661" t="s">
        <v>351</v>
      </c>
      <c r="W83" s="662"/>
      <c r="X83" s="663"/>
      <c r="Y83" s="387" t="s">
        <v>350</v>
      </c>
      <c r="Z83" s="388"/>
      <c r="AA83" s="388"/>
      <c r="AB83" s="389"/>
      <c r="AJ83" s="256" t="s">
        <v>615</v>
      </c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</row>
    <row r="84" spans="2:96" ht="15.75" customHeight="1" x14ac:dyDescent="0.25">
      <c r="J84" s="132"/>
      <c r="L84" s="132"/>
      <c r="M84" s="132"/>
      <c r="O84"/>
      <c r="P84" s="246" t="s">
        <v>353</v>
      </c>
      <c r="S84" s="554"/>
      <c r="T84" s="555"/>
      <c r="U84" s="556"/>
      <c r="V84" s="664"/>
      <c r="W84" s="665"/>
      <c r="X84" s="666"/>
      <c r="Y84" s="657"/>
      <c r="Z84" s="555"/>
      <c r="AA84" s="555"/>
      <c r="AB84" s="659"/>
      <c r="AI84" s="257"/>
      <c r="AJ84" s="255"/>
      <c r="AL84" s="434" t="s">
        <v>343</v>
      </c>
      <c r="AM84" s="435"/>
      <c r="AN84" s="436"/>
      <c r="AO84" s="428" t="s">
        <v>608</v>
      </c>
      <c r="AP84" s="429"/>
      <c r="AQ84" s="429"/>
      <c r="AR84" s="429"/>
      <c r="AS84" s="429"/>
      <c r="AT84" s="429"/>
      <c r="AU84" s="430"/>
      <c r="AW84" s="258"/>
      <c r="AX84" s="259"/>
      <c r="AY84" s="259"/>
      <c r="AZ84" s="260"/>
      <c r="BA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</row>
    <row r="85" spans="2:96" ht="17.25" customHeight="1" thickBot="1" x14ac:dyDescent="0.3">
      <c r="C85" s="117"/>
      <c r="D85" s="118"/>
      <c r="E85" s="118"/>
      <c r="F85" s="118"/>
      <c r="G85" s="118"/>
      <c r="H85" s="118"/>
      <c r="I85" s="51"/>
      <c r="J85" s="132"/>
      <c r="L85" s="132"/>
      <c r="M85" s="132"/>
      <c r="O85"/>
      <c r="S85" s="557"/>
      <c r="T85" s="558"/>
      <c r="U85" s="559"/>
      <c r="V85" s="667"/>
      <c r="W85" s="668"/>
      <c r="X85" s="669"/>
      <c r="Y85" s="658"/>
      <c r="Z85" s="558"/>
      <c r="AA85" s="558"/>
      <c r="AB85" s="660"/>
      <c r="AH85" s="78"/>
      <c r="AI85" s="257"/>
      <c r="AJ85" s="256"/>
      <c r="AL85" s="416" t="s">
        <v>344</v>
      </c>
      <c r="AM85" s="417"/>
      <c r="AN85" s="418"/>
      <c r="AO85" s="446" t="s">
        <v>614</v>
      </c>
      <c r="AP85" s="447"/>
      <c r="AQ85" s="447"/>
      <c r="AR85" s="447"/>
      <c r="AS85" s="447"/>
      <c r="AT85" s="447"/>
      <c r="AU85" s="448"/>
      <c r="AW85" s="84"/>
      <c r="AZ85" s="85"/>
      <c r="BA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</row>
    <row r="86" spans="2:96" ht="15.75" thickTop="1" x14ac:dyDescent="0.25">
      <c r="B86" s="69"/>
      <c r="C86" s="119"/>
      <c r="D86" s="118"/>
      <c r="E86" s="120"/>
      <c r="F86" s="120"/>
      <c r="G86" s="120"/>
      <c r="H86" s="120"/>
      <c r="J86" s="132"/>
      <c r="L86" s="132"/>
      <c r="M86" s="132"/>
      <c r="O86"/>
      <c r="P86" s="257" t="s">
        <v>341</v>
      </c>
      <c r="Q86" s="255"/>
      <c r="R86" s="117"/>
      <c r="S86" s="419" t="s">
        <v>343</v>
      </c>
      <c r="T86" s="420"/>
      <c r="U86" s="421"/>
      <c r="V86" s="422" t="s">
        <v>344</v>
      </c>
      <c r="W86" s="423"/>
      <c r="X86" s="424"/>
      <c r="Y86" s="425" t="s">
        <v>345</v>
      </c>
      <c r="Z86" s="426"/>
      <c r="AA86" s="426"/>
      <c r="AB86" s="427"/>
      <c r="AD86" s="258"/>
      <c r="AE86" s="259"/>
      <c r="AF86" s="259"/>
      <c r="AG86" s="260"/>
      <c r="AH86" s="77"/>
      <c r="AI86" s="256"/>
      <c r="AJ86" s="256"/>
      <c r="AL86" s="381" t="s">
        <v>576</v>
      </c>
      <c r="AM86" s="382"/>
      <c r="AN86" s="383"/>
      <c r="AO86" s="440" t="s">
        <v>609</v>
      </c>
      <c r="AP86" s="441"/>
      <c r="AQ86" s="441"/>
      <c r="AR86" s="441"/>
      <c r="AS86" s="441"/>
      <c r="AT86" s="441"/>
      <c r="AU86" s="442"/>
      <c r="AW86" s="16"/>
      <c r="AX86"/>
      <c r="AY86"/>
      <c r="AZ86" s="286"/>
      <c r="BA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</row>
    <row r="87" spans="2:96" ht="12.95" customHeight="1" thickBot="1" x14ac:dyDescent="0.3">
      <c r="C87" s="117"/>
      <c r="D87" s="118"/>
      <c r="E87" s="118"/>
      <c r="F87" s="118"/>
      <c r="G87" s="118"/>
      <c r="H87" s="118"/>
      <c r="J87" s="132"/>
      <c r="L87" s="132"/>
      <c r="M87" s="132"/>
      <c r="O87"/>
      <c r="P87" s="257" t="s">
        <v>575</v>
      </c>
      <c r="Q87" s="255"/>
      <c r="S87" s="455" t="s">
        <v>343</v>
      </c>
      <c r="T87" s="456"/>
      <c r="U87" s="457"/>
      <c r="V87" s="458" t="s">
        <v>344</v>
      </c>
      <c r="W87" s="459"/>
      <c r="X87" s="460"/>
      <c r="Y87" s="461" t="s">
        <v>345</v>
      </c>
      <c r="Z87" s="462"/>
      <c r="AA87" s="462"/>
      <c r="AB87" s="463"/>
      <c r="AD87" s="84"/>
      <c r="AG87" s="85"/>
      <c r="AH87" s="77"/>
      <c r="AL87" s="384"/>
      <c r="AM87" s="385"/>
      <c r="AN87" s="386"/>
      <c r="AO87" s="443"/>
      <c r="AP87" s="444"/>
      <c r="AQ87" s="444"/>
      <c r="AR87" s="444"/>
      <c r="AS87" s="444"/>
      <c r="AT87" s="444"/>
      <c r="AU87" s="445"/>
      <c r="AW87" s="362"/>
      <c r="AX87" s="34"/>
      <c r="AY87" s="34"/>
      <c r="AZ87" s="363"/>
      <c r="BA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</row>
    <row r="88" spans="2:96" ht="15" customHeight="1" x14ac:dyDescent="0.25">
      <c r="B88" s="69"/>
      <c r="C88" s="117"/>
      <c r="D88" s="118"/>
      <c r="E88" s="118"/>
      <c r="F88" s="118"/>
      <c r="G88" s="118"/>
      <c r="H88" s="118"/>
      <c r="J88" s="132"/>
      <c r="L88" s="132"/>
      <c r="O88"/>
      <c r="P88" s="257" t="s">
        <v>342</v>
      </c>
      <c r="Q88" s="255"/>
      <c r="S88" s="455" t="s">
        <v>343</v>
      </c>
      <c r="T88" s="456"/>
      <c r="U88" s="457"/>
      <c r="V88" s="458" t="s">
        <v>344</v>
      </c>
      <c r="W88" s="459"/>
      <c r="X88" s="460"/>
      <c r="Y88" s="461" t="s">
        <v>345</v>
      </c>
      <c r="Z88" s="462"/>
      <c r="AA88" s="462"/>
      <c r="AB88" s="463"/>
      <c r="AD88" s="84"/>
      <c r="AG88" s="85"/>
      <c r="AH88" s="77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</row>
    <row r="89" spans="2:96" ht="15.75" thickBot="1" x14ac:dyDescent="0.3">
      <c r="C89" s="117"/>
      <c r="D89" s="118"/>
      <c r="E89" s="118"/>
      <c r="F89" s="118"/>
      <c r="G89" s="118"/>
      <c r="H89" s="118"/>
      <c r="J89" s="132"/>
      <c r="L89" s="132"/>
      <c r="O89"/>
      <c r="P89" s="257" t="s">
        <v>577</v>
      </c>
      <c r="Q89" s="78"/>
      <c r="R89" s="78"/>
      <c r="S89" s="575" t="s">
        <v>343</v>
      </c>
      <c r="T89" s="576"/>
      <c r="U89" s="577"/>
      <c r="V89" s="578" t="s">
        <v>344</v>
      </c>
      <c r="W89" s="579"/>
      <c r="X89" s="580"/>
      <c r="Y89" s="581" t="s">
        <v>345</v>
      </c>
      <c r="Z89" s="582"/>
      <c r="AA89" s="582"/>
      <c r="AB89" s="583"/>
      <c r="AC89" s="78"/>
      <c r="AD89" s="88"/>
      <c r="AE89" s="89"/>
      <c r="AF89" s="89"/>
      <c r="AG89" s="261"/>
      <c r="AH89" s="77"/>
      <c r="AI89" s="246"/>
      <c r="AJ89" s="256" t="s">
        <v>581</v>
      </c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</row>
    <row r="90" spans="2:96" ht="14.1" customHeight="1" x14ac:dyDescent="0.25">
      <c r="C90" s="117"/>
      <c r="D90" s="118"/>
      <c r="E90" s="118"/>
      <c r="F90" s="118"/>
      <c r="G90" s="118"/>
      <c r="H90" s="118"/>
      <c r="J90" s="132"/>
      <c r="L90" s="132"/>
      <c r="O90"/>
      <c r="P90" s="256"/>
      <c r="S90" s="252"/>
      <c r="T90" s="252"/>
      <c r="U90" s="252"/>
      <c r="V90" s="252"/>
      <c r="AK90"/>
      <c r="AL90" s="402" t="s">
        <v>343</v>
      </c>
      <c r="AM90" s="403"/>
      <c r="AN90" s="404"/>
      <c r="AO90" s="387" t="s">
        <v>360</v>
      </c>
      <c r="AP90" s="388"/>
      <c r="AQ90" s="388"/>
      <c r="AR90" s="388"/>
      <c r="AS90" s="388"/>
      <c r="AT90" s="388"/>
      <c r="AU90" s="389"/>
      <c r="AV90"/>
      <c r="AW90" s="285"/>
      <c r="AX90" s="12"/>
      <c r="AY90" s="12"/>
      <c r="AZ90" s="13"/>
      <c r="BA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</row>
    <row r="91" spans="2:96" ht="15" x14ac:dyDescent="0.25">
      <c r="C91" s="117"/>
      <c r="D91" s="118"/>
      <c r="E91" s="118"/>
      <c r="F91" s="118"/>
      <c r="G91" s="118"/>
      <c r="H91" s="118"/>
      <c r="O91"/>
      <c r="P91" s="256" t="s">
        <v>349</v>
      </c>
      <c r="S91" s="252"/>
      <c r="T91" s="252"/>
      <c r="U91" s="252"/>
      <c r="V91" s="252"/>
      <c r="AK91"/>
      <c r="AL91" s="405"/>
      <c r="AM91" s="406"/>
      <c r="AN91" s="407"/>
      <c r="AO91" s="390"/>
      <c r="AP91" s="391"/>
      <c r="AQ91" s="391"/>
      <c r="AR91" s="391"/>
      <c r="AS91" s="391"/>
      <c r="AT91" s="391"/>
      <c r="AU91" s="392"/>
      <c r="AV91"/>
      <c r="AW91" s="16"/>
      <c r="AX91"/>
      <c r="AY91"/>
      <c r="AZ91" s="286"/>
      <c r="BA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</row>
    <row r="92" spans="2:96" ht="12.75" customHeight="1" thickBot="1" x14ac:dyDescent="0.3">
      <c r="B92" s="69"/>
      <c r="C92" s="119"/>
      <c r="D92" s="118"/>
      <c r="E92" s="120"/>
      <c r="F92" s="120"/>
      <c r="G92" s="120"/>
      <c r="H92" s="120"/>
      <c r="O92"/>
      <c r="AI92" s="257"/>
      <c r="AJ92" s="256"/>
      <c r="AL92" s="396" t="s">
        <v>344</v>
      </c>
      <c r="AM92" s="397"/>
      <c r="AN92" s="398"/>
      <c r="AO92" s="393" t="s">
        <v>582</v>
      </c>
      <c r="AP92" s="394"/>
      <c r="AQ92" s="394"/>
      <c r="AR92" s="394"/>
      <c r="AS92" s="394"/>
      <c r="AT92" s="394"/>
      <c r="AU92" s="395"/>
      <c r="AW92" s="84"/>
      <c r="AZ92" s="85"/>
      <c r="BA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</row>
    <row r="93" spans="2:96" ht="15.75" customHeight="1" thickBot="1" x14ac:dyDescent="0.3">
      <c r="L93" s="51"/>
      <c r="O93"/>
      <c r="S93" s="552" t="s">
        <v>354</v>
      </c>
      <c r="T93" s="388"/>
      <c r="U93" s="553"/>
      <c r="V93" s="560" t="s">
        <v>607</v>
      </c>
      <c r="W93" s="561"/>
      <c r="X93" s="562"/>
      <c r="Y93" s="670" t="s">
        <v>355</v>
      </c>
      <c r="Z93" s="671"/>
      <c r="AA93" s="671"/>
      <c r="AB93" s="672"/>
      <c r="AL93" s="399"/>
      <c r="AM93" s="400"/>
      <c r="AN93" s="401"/>
      <c r="AO93" s="390"/>
      <c r="AP93" s="391"/>
      <c r="AQ93" s="391"/>
      <c r="AR93" s="391"/>
      <c r="AS93" s="391"/>
      <c r="AT93" s="391"/>
      <c r="AU93" s="392"/>
      <c r="AW93" s="88"/>
      <c r="AX93" s="89"/>
      <c r="AY93" s="89"/>
      <c r="AZ93" s="261"/>
      <c r="BA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</row>
    <row r="94" spans="2:96" ht="15" customHeight="1" x14ac:dyDescent="0.25">
      <c r="L94" s="132"/>
      <c r="O94"/>
      <c r="P94" s="246" t="s">
        <v>353</v>
      </c>
      <c r="S94" s="554"/>
      <c r="T94" s="555"/>
      <c r="U94" s="556"/>
      <c r="V94" s="563"/>
      <c r="W94" s="564"/>
      <c r="X94" s="565"/>
      <c r="Y94" s="673"/>
      <c r="Z94" s="674"/>
      <c r="AA94" s="674"/>
      <c r="AB94" s="675"/>
      <c r="AL94" s="381" t="s">
        <v>345</v>
      </c>
      <c r="AM94" s="382"/>
      <c r="AN94" s="383"/>
      <c r="AO94" s="449" t="s">
        <v>583</v>
      </c>
      <c r="AP94" s="450"/>
      <c r="AQ94" s="450"/>
      <c r="AR94" s="450"/>
      <c r="AS94" s="450"/>
      <c r="AT94" s="450"/>
      <c r="AU94" s="451"/>
      <c r="BA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</row>
    <row r="95" spans="2:96" ht="15.95" customHeight="1" thickBot="1" x14ac:dyDescent="0.3">
      <c r="L95" s="132"/>
      <c r="O95"/>
      <c r="S95" s="557"/>
      <c r="T95" s="558"/>
      <c r="U95" s="559"/>
      <c r="V95" s="566"/>
      <c r="W95" s="567"/>
      <c r="X95" s="568"/>
      <c r="Y95" s="676"/>
      <c r="Z95" s="677"/>
      <c r="AA95" s="677"/>
      <c r="AB95" s="678"/>
      <c r="AI95" s="256"/>
      <c r="AL95" s="384"/>
      <c r="AM95" s="385"/>
      <c r="AN95" s="386"/>
      <c r="AO95" s="452"/>
      <c r="AP95" s="453"/>
      <c r="AQ95" s="453"/>
      <c r="AR95" s="453"/>
      <c r="AS95" s="453"/>
      <c r="AT95" s="453"/>
      <c r="AU95" s="454"/>
      <c r="BA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</row>
    <row r="96" spans="2:96" ht="12.95" customHeight="1" thickTop="1" thickBot="1" x14ac:dyDescent="0.3">
      <c r="L96" s="132"/>
      <c r="O96"/>
      <c r="P96" s="257" t="s">
        <v>341</v>
      </c>
      <c r="Q96" s="255"/>
      <c r="R96" s="117"/>
      <c r="S96" s="419" t="s">
        <v>343</v>
      </c>
      <c r="T96" s="420"/>
      <c r="U96" s="421"/>
      <c r="V96" s="422" t="s">
        <v>344</v>
      </c>
      <c r="W96" s="423"/>
      <c r="X96" s="424"/>
      <c r="Y96" s="425" t="s">
        <v>576</v>
      </c>
      <c r="Z96" s="426"/>
      <c r="AA96" s="426"/>
      <c r="AB96" s="427"/>
      <c r="AD96" s="258"/>
      <c r="AE96" s="259"/>
      <c r="AF96" s="259"/>
      <c r="AG96" s="260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1:96" ht="14.1" customHeight="1" thickBot="1" x14ac:dyDescent="0.3">
      <c r="L97" s="132"/>
      <c r="O97"/>
      <c r="P97" s="257" t="s">
        <v>575</v>
      </c>
      <c r="Q97" s="255"/>
      <c r="S97" s="455" t="s">
        <v>343</v>
      </c>
      <c r="T97" s="456"/>
      <c r="U97" s="457"/>
      <c r="V97" s="458" t="s">
        <v>344</v>
      </c>
      <c r="W97" s="459"/>
      <c r="X97" s="460"/>
      <c r="Y97" s="461" t="s">
        <v>576</v>
      </c>
      <c r="Z97" s="462"/>
      <c r="AA97" s="462"/>
      <c r="AB97" s="463"/>
      <c r="AD97" s="84"/>
      <c r="AG97" s="85"/>
      <c r="AJ97" s="256" t="s">
        <v>629</v>
      </c>
      <c r="AK97" s="364"/>
      <c r="AL97" s="364"/>
      <c r="AM97" s="364"/>
      <c r="AN97" s="364"/>
      <c r="AO97" s="364"/>
      <c r="AP97" s="364"/>
      <c r="AQ97" s="364"/>
      <c r="AR97" s="364"/>
      <c r="AS97" s="364"/>
      <c r="AT97"/>
      <c r="AU97"/>
      <c r="AV97"/>
      <c r="AW97" s="285"/>
      <c r="AX97" s="12"/>
      <c r="AY97" s="12"/>
      <c r="AZ97" s="13"/>
      <c r="BA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1:96" ht="14.1" customHeight="1" x14ac:dyDescent="0.25">
      <c r="L98" s="132"/>
      <c r="O98"/>
      <c r="P98" s="257" t="s">
        <v>342</v>
      </c>
      <c r="Q98" s="255"/>
      <c r="S98" s="455" t="s">
        <v>343</v>
      </c>
      <c r="T98" s="456"/>
      <c r="U98" s="457"/>
      <c r="V98" s="458" t="s">
        <v>344</v>
      </c>
      <c r="W98" s="459"/>
      <c r="X98" s="460"/>
      <c r="Y98" s="461" t="s">
        <v>576</v>
      </c>
      <c r="Z98" s="462"/>
      <c r="AA98" s="462"/>
      <c r="AB98" s="463"/>
      <c r="AD98" s="84"/>
      <c r="AG98" s="85"/>
      <c r="AK98"/>
      <c r="AL98" s="412" t="s">
        <v>343</v>
      </c>
      <c r="AM98" s="413"/>
      <c r="AN98" s="413"/>
      <c r="AO98" s="408" t="s">
        <v>631</v>
      </c>
      <c r="AP98" s="408"/>
      <c r="AQ98" s="408"/>
      <c r="AR98" s="408"/>
      <c r="AS98" s="408"/>
      <c r="AT98" s="408"/>
      <c r="AU98" s="409"/>
      <c r="AV98"/>
      <c r="AW98" s="16"/>
      <c r="AX98"/>
      <c r="AY98"/>
      <c r="AZ98" s="286"/>
      <c r="BA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1:96" ht="14.1" customHeight="1" thickBot="1" x14ac:dyDescent="0.3">
      <c r="L99" s="132"/>
      <c r="O99"/>
      <c r="P99" s="257" t="s">
        <v>577</v>
      </c>
      <c r="Q99" s="255"/>
      <c r="S99" s="575" t="s">
        <v>343</v>
      </c>
      <c r="T99" s="576"/>
      <c r="U99" s="577"/>
      <c r="V99" s="578" t="s">
        <v>344</v>
      </c>
      <c r="W99" s="579"/>
      <c r="X99" s="580"/>
      <c r="Y99" s="581" t="s">
        <v>576</v>
      </c>
      <c r="Z99" s="582"/>
      <c r="AA99" s="582"/>
      <c r="AB99" s="583"/>
      <c r="AD99" s="88"/>
      <c r="AE99" s="89"/>
      <c r="AF99" s="89"/>
      <c r="AG99" s="261"/>
      <c r="AI99" s="254"/>
      <c r="AK99"/>
      <c r="AL99" s="414" t="s">
        <v>344</v>
      </c>
      <c r="AM99" s="415"/>
      <c r="AN99" s="415"/>
      <c r="AO99" s="410" t="s">
        <v>630</v>
      </c>
      <c r="AP99" s="410"/>
      <c r="AQ99" s="410"/>
      <c r="AR99" s="410"/>
      <c r="AS99" s="410"/>
      <c r="AT99" s="410"/>
      <c r="AU99" s="411"/>
      <c r="AV99"/>
      <c r="AW99" s="362"/>
      <c r="AX99" s="34"/>
      <c r="AY99" s="34"/>
      <c r="AZ99" s="363"/>
      <c r="BA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1:96" ht="15" x14ac:dyDescent="0.25">
      <c r="L100" s="132"/>
      <c r="O100"/>
      <c r="P100" s="62"/>
      <c r="Q100" s="62"/>
      <c r="R100" s="62"/>
      <c r="S100" s="62"/>
      <c r="X100" s="62"/>
      <c r="AA100" s="140"/>
      <c r="BA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1:96" ht="12.95" customHeight="1" thickBot="1" x14ac:dyDescent="0.3">
      <c r="L101" s="132"/>
      <c r="O101"/>
      <c r="Q101" s="69" t="s">
        <v>628</v>
      </c>
      <c r="AI101" s="257"/>
      <c r="AJ101" s="255"/>
      <c r="BA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1:96" ht="15.75" thickBot="1" x14ac:dyDescent="0.3">
      <c r="A102" s="69"/>
      <c r="H102" s="69"/>
      <c r="L102" s="132"/>
      <c r="O102"/>
      <c r="R102" s="569" t="s">
        <v>589</v>
      </c>
      <c r="S102" s="570"/>
      <c r="T102" s="570"/>
      <c r="U102" s="570"/>
      <c r="V102" s="570"/>
      <c r="W102" s="570"/>
      <c r="X102" s="570"/>
      <c r="Y102" s="570"/>
      <c r="Z102" s="571"/>
      <c r="AA102" s="572" t="s">
        <v>590</v>
      </c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  <c r="AO102" s="573"/>
      <c r="AP102" s="573"/>
      <c r="AQ102" s="573"/>
      <c r="AR102" s="573"/>
      <c r="AS102" s="573"/>
      <c r="AT102" s="573"/>
      <c r="AU102" s="574"/>
      <c r="BA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1:96" ht="15.75" thickTop="1" x14ac:dyDescent="0.25">
      <c r="A103" s="78"/>
      <c r="B103" s="122"/>
      <c r="C103" s="122"/>
      <c r="D103" s="122"/>
      <c r="E103" s="122"/>
      <c r="F103" s="122"/>
      <c r="I103" s="78"/>
      <c r="J103" s="123"/>
      <c r="K103" s="122"/>
      <c r="L103" s="122"/>
      <c r="M103" s="122"/>
      <c r="O103"/>
      <c r="R103" s="530" t="s">
        <v>343</v>
      </c>
      <c r="S103" s="531"/>
      <c r="T103" s="532"/>
      <c r="U103" s="536" t="s">
        <v>344</v>
      </c>
      <c r="V103" s="397"/>
      <c r="W103" s="398"/>
      <c r="X103" s="540" t="s">
        <v>345</v>
      </c>
      <c r="Y103" s="382"/>
      <c r="Z103" s="383"/>
      <c r="AA103" s="542"/>
      <c r="AB103" s="543"/>
      <c r="AC103" s="543"/>
      <c r="AD103" s="543"/>
      <c r="AE103" s="543"/>
      <c r="AF103" s="543"/>
      <c r="AG103" s="543"/>
      <c r="AH103" s="543"/>
      <c r="AI103" s="543"/>
      <c r="AJ103" s="543"/>
      <c r="AK103" s="543"/>
      <c r="AL103" s="543"/>
      <c r="AM103" s="543"/>
      <c r="AN103" s="543"/>
      <c r="AO103" s="543"/>
      <c r="AP103" s="543"/>
      <c r="AQ103" s="543"/>
      <c r="AR103" s="543"/>
      <c r="AS103" s="543"/>
      <c r="AT103" s="543"/>
      <c r="AU103" s="544"/>
      <c r="BA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1:96" ht="15.75" thickBot="1" x14ac:dyDescent="0.3">
      <c r="I104" s="78"/>
      <c r="J104" s="123"/>
      <c r="K104" s="122"/>
      <c r="L104" s="122"/>
      <c r="M104" s="122"/>
      <c r="O104"/>
      <c r="R104" s="533"/>
      <c r="S104" s="534"/>
      <c r="T104" s="535"/>
      <c r="U104" s="537"/>
      <c r="V104" s="538"/>
      <c r="W104" s="539"/>
      <c r="X104" s="541"/>
      <c r="Y104" s="385"/>
      <c r="Z104" s="386"/>
      <c r="AA104" s="545"/>
      <c r="AB104" s="546"/>
      <c r="AC104" s="546"/>
      <c r="AD104" s="546"/>
      <c r="AE104" s="546"/>
      <c r="AF104" s="546"/>
      <c r="AG104" s="546"/>
      <c r="AH104" s="546"/>
      <c r="AI104" s="546"/>
      <c r="AJ104" s="546"/>
      <c r="AK104" s="546"/>
      <c r="AL104" s="546"/>
      <c r="AM104" s="546"/>
      <c r="AN104" s="546"/>
      <c r="AO104" s="546"/>
      <c r="AP104" s="546"/>
      <c r="AQ104" s="546"/>
      <c r="AR104" s="546"/>
      <c r="AS104" s="546"/>
      <c r="AT104" s="546"/>
      <c r="AU104" s="547"/>
      <c r="BA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</row>
    <row r="105" spans="1:96" ht="14.1" customHeight="1" thickBot="1" x14ac:dyDescent="0.3">
      <c r="A105" s="78"/>
      <c r="I105" s="78"/>
      <c r="J105" s="123"/>
      <c r="K105" s="122"/>
      <c r="L105" s="122"/>
      <c r="M105" s="122"/>
      <c r="O105" s="244"/>
      <c r="P105"/>
      <c r="Q105"/>
      <c r="R105"/>
      <c r="S105"/>
      <c r="T105"/>
      <c r="U105"/>
      <c r="V105"/>
      <c r="W105"/>
      <c r="X105" s="262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 s="262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</row>
    <row r="106" spans="1:96" ht="14.1" customHeight="1" thickBot="1" x14ac:dyDescent="0.3">
      <c r="I106" s="78"/>
      <c r="J106" s="123"/>
      <c r="K106" s="122"/>
      <c r="L106" s="122"/>
      <c r="M106" s="122"/>
      <c r="O106" s="247"/>
      <c r="P106" s="605" t="s">
        <v>595</v>
      </c>
      <c r="Q106" s="606"/>
      <c r="R106" s="606"/>
      <c r="S106" s="606"/>
      <c r="T106" s="606"/>
      <c r="U106" s="606"/>
      <c r="V106" s="606"/>
      <c r="W106" s="607"/>
      <c r="X106" s="262"/>
      <c r="Y106" s="648" t="s">
        <v>584</v>
      </c>
      <c r="Z106" s="649"/>
      <c r="AA106" s="649"/>
      <c r="AB106" s="649"/>
      <c r="AC106" s="649"/>
      <c r="AD106" s="649"/>
      <c r="AE106" s="649"/>
      <c r="AF106" s="649"/>
      <c r="AG106" s="649"/>
      <c r="AH106" s="649"/>
      <c r="AI106" s="649"/>
      <c r="AJ106" s="649"/>
      <c r="AK106" s="649"/>
      <c r="AL106" s="649"/>
      <c r="AM106" s="649"/>
      <c r="AN106" s="649"/>
      <c r="AO106" s="649"/>
      <c r="AP106" s="649"/>
      <c r="AQ106" s="649"/>
      <c r="AR106" s="649"/>
      <c r="AS106" s="649"/>
      <c r="AT106" s="649"/>
      <c r="AU106" s="649"/>
      <c r="AV106" s="649"/>
      <c r="AW106" s="649"/>
      <c r="AX106" s="649"/>
      <c r="AY106" s="649"/>
      <c r="AZ106" s="650"/>
      <c r="BA106" s="262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N106"/>
      <c r="CO106"/>
      <c r="CP106"/>
      <c r="CQ106"/>
      <c r="CR106"/>
    </row>
    <row r="107" spans="1:96" ht="15" x14ac:dyDescent="0.25">
      <c r="A107" s="78"/>
      <c r="B107" s="122"/>
      <c r="C107" s="122"/>
      <c r="D107" s="122"/>
      <c r="E107" s="122"/>
      <c r="F107" s="122"/>
      <c r="I107" s="78"/>
      <c r="J107" s="123"/>
      <c r="K107" s="122"/>
      <c r="L107" s="122"/>
      <c r="M107" s="122"/>
      <c r="O107" s="78"/>
      <c r="P107" s="608" t="s">
        <v>596</v>
      </c>
      <c r="Q107" s="609"/>
      <c r="R107" s="609"/>
      <c r="S107" s="609"/>
      <c r="T107" s="609"/>
      <c r="U107" s="609"/>
      <c r="V107" s="609"/>
      <c r="W107" s="610"/>
      <c r="X107" s="262"/>
      <c r="Y107" s="332"/>
      <c r="Z107" s="333"/>
      <c r="AA107" s="333"/>
      <c r="AB107" s="335" t="s">
        <v>585</v>
      </c>
      <c r="AC107" s="333"/>
      <c r="AD107" s="333"/>
      <c r="AE107" s="333"/>
      <c r="AF107" s="334"/>
      <c r="AG107" s="651" t="s">
        <v>588</v>
      </c>
      <c r="AH107" s="652"/>
      <c r="AI107" s="652"/>
      <c r="AJ107" s="652"/>
      <c r="AK107" s="652"/>
      <c r="AL107" s="652"/>
      <c r="AM107" s="652"/>
      <c r="AN107" s="652"/>
      <c r="AO107" s="652"/>
      <c r="AP107" s="653"/>
      <c r="AQ107" s="654" t="s">
        <v>593</v>
      </c>
      <c r="AR107" s="655"/>
      <c r="AS107" s="655"/>
      <c r="AT107" s="655"/>
      <c r="AU107" s="655"/>
      <c r="AV107" s="655"/>
      <c r="AW107" s="655"/>
      <c r="AX107" s="655"/>
      <c r="AY107" s="655"/>
      <c r="AZ107" s="656"/>
      <c r="BA107" s="262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N107"/>
      <c r="CO107"/>
      <c r="CP107"/>
      <c r="CQ107"/>
      <c r="CR107"/>
    </row>
    <row r="108" spans="1:96" ht="15" customHeight="1" x14ac:dyDescent="0.25">
      <c r="I108" s="78"/>
      <c r="J108" s="123"/>
      <c r="K108" s="122"/>
      <c r="L108" s="122"/>
      <c r="M108" s="122"/>
      <c r="O108" s="253"/>
      <c r="P108" s="611" t="s">
        <v>610</v>
      </c>
      <c r="Q108" s="612"/>
      <c r="R108" s="612"/>
      <c r="S108" s="612"/>
      <c r="T108" s="612"/>
      <c r="U108" s="612"/>
      <c r="V108" s="612"/>
      <c r="W108" s="613"/>
      <c r="X108" s="262"/>
      <c r="Y108" s="318"/>
      <c r="Z108" s="319"/>
      <c r="AA108" s="319"/>
      <c r="AB108" s="327" t="s">
        <v>586</v>
      </c>
      <c r="AC108" s="319"/>
      <c r="AD108" s="319"/>
      <c r="AE108" s="319"/>
      <c r="AF108" s="320"/>
      <c r="AG108" s="328" t="s">
        <v>591</v>
      </c>
      <c r="AH108" s="262"/>
      <c r="AI108" s="262"/>
      <c r="AJ108" s="262"/>
      <c r="AK108" s="262"/>
      <c r="AL108" s="262"/>
      <c r="AM108" s="262"/>
      <c r="AN108" s="262"/>
      <c r="AO108" s="351"/>
      <c r="AP108" s="352"/>
      <c r="AQ108" s="355" t="s">
        <v>617</v>
      </c>
      <c r="AR108" s="317"/>
      <c r="AS108" s="317"/>
      <c r="AT108" s="317"/>
      <c r="AU108" s="317"/>
      <c r="AV108" s="317"/>
      <c r="AW108" s="317"/>
      <c r="AX108" s="262"/>
      <c r="AY108" s="262"/>
      <c r="AZ108" s="312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</row>
    <row r="109" spans="1:96" ht="15.75" thickBot="1" x14ac:dyDescent="0.3">
      <c r="A109" s="78"/>
      <c r="B109" s="122"/>
      <c r="C109" s="122"/>
      <c r="D109" s="122"/>
      <c r="E109" s="122"/>
      <c r="I109" s="78"/>
      <c r="J109" s="123"/>
      <c r="O109" s="253"/>
      <c r="P109" s="645" t="s">
        <v>597</v>
      </c>
      <c r="Q109" s="646"/>
      <c r="R109" s="646"/>
      <c r="S109" s="646"/>
      <c r="T109" s="646"/>
      <c r="U109" s="646"/>
      <c r="V109" s="646"/>
      <c r="W109" s="647"/>
      <c r="X109" s="262"/>
      <c r="Y109" s="321"/>
      <c r="Z109" s="322"/>
      <c r="AA109" s="322"/>
      <c r="AB109" s="350" t="s">
        <v>587</v>
      </c>
      <c r="AC109" s="322"/>
      <c r="AD109" s="322"/>
      <c r="AE109" s="322"/>
      <c r="AF109" s="323"/>
      <c r="AG109" s="329" t="s">
        <v>592</v>
      </c>
      <c r="AH109" s="313"/>
      <c r="AI109" s="313"/>
      <c r="AJ109" s="313"/>
      <c r="AK109" s="313"/>
      <c r="AL109" s="313"/>
      <c r="AM109" s="313"/>
      <c r="AN109" s="313"/>
      <c r="AO109" s="330"/>
      <c r="AP109" s="353"/>
      <c r="AQ109" s="353" t="s">
        <v>594</v>
      </c>
      <c r="AR109" s="324"/>
      <c r="AS109" s="324"/>
      <c r="AT109" s="324"/>
      <c r="AU109" s="324"/>
      <c r="AV109" s="324"/>
      <c r="AW109" s="324"/>
      <c r="AX109" s="313"/>
      <c r="AY109" s="313"/>
      <c r="AZ109" s="314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</row>
    <row r="110" spans="1:96" ht="14.1" customHeight="1" thickBot="1" x14ac:dyDescent="0.3">
      <c r="B110" s="122"/>
      <c r="C110" s="122"/>
      <c r="D110" s="122"/>
      <c r="E110" s="122"/>
      <c r="I110" s="78"/>
      <c r="J110" s="123"/>
      <c r="K110" s="122"/>
      <c r="L110" s="122"/>
      <c r="M110" s="122"/>
      <c r="O110" s="262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</row>
    <row r="111" spans="1:96" ht="14.1" customHeight="1" thickBot="1" x14ac:dyDescent="0.3">
      <c r="I111" s="78"/>
      <c r="J111" s="123"/>
      <c r="K111" s="122"/>
      <c r="L111" s="122"/>
      <c r="M111" s="122"/>
      <c r="O111" s="262"/>
      <c r="P111" s="602" t="s">
        <v>362</v>
      </c>
      <c r="Q111" s="603"/>
      <c r="R111" s="603"/>
      <c r="S111" s="603"/>
      <c r="T111" s="603"/>
      <c r="U111" s="603"/>
      <c r="V111" s="603"/>
      <c r="W111" s="603"/>
      <c r="X111" s="603"/>
      <c r="Y111" s="603"/>
      <c r="Z111" s="603"/>
      <c r="AA111" s="603"/>
      <c r="AB111" s="603"/>
      <c r="AC111" s="603"/>
      <c r="AD111" s="603"/>
      <c r="AE111" s="603"/>
      <c r="AF111" s="603"/>
      <c r="AG111" s="603"/>
      <c r="AH111" s="603"/>
      <c r="AI111" s="603"/>
      <c r="AJ111" s="603"/>
      <c r="AK111" s="603"/>
      <c r="AL111" s="603"/>
      <c r="AM111" s="603"/>
      <c r="AN111" s="603"/>
      <c r="AO111" s="603"/>
      <c r="AP111" s="603"/>
      <c r="AQ111" s="603"/>
      <c r="AR111" s="603"/>
      <c r="AS111" s="603"/>
      <c r="AT111" s="603"/>
      <c r="AU111" s="603"/>
      <c r="AV111" s="603"/>
      <c r="AW111" s="603"/>
      <c r="AX111" s="603"/>
      <c r="AY111" s="603"/>
      <c r="AZ111" s="604"/>
      <c r="BD111"/>
      <c r="BE111"/>
      <c r="BF111"/>
      <c r="BG111"/>
      <c r="BH111"/>
      <c r="BI111"/>
      <c r="BJ111"/>
      <c r="BK111"/>
      <c r="BL111"/>
    </row>
    <row r="112" spans="1:96" ht="14.1" customHeight="1" x14ac:dyDescent="0.25">
      <c r="A112" s="78"/>
      <c r="B112" s="122"/>
      <c r="C112" s="122"/>
      <c r="D112" s="122"/>
      <c r="E112" s="122"/>
      <c r="I112" s="78"/>
      <c r="J112" s="123"/>
      <c r="K112" s="122"/>
      <c r="L112" s="122"/>
      <c r="M112" s="122"/>
      <c r="O112" s="262"/>
      <c r="P112" s="590" t="s">
        <v>598</v>
      </c>
      <c r="Q112" s="591"/>
      <c r="R112" s="591"/>
      <c r="S112" s="591"/>
      <c r="T112" s="591"/>
      <c r="U112" s="591"/>
      <c r="V112" s="592"/>
      <c r="W112" s="339"/>
      <c r="X112" s="331"/>
      <c r="Y112" s="614" t="s">
        <v>599</v>
      </c>
      <c r="Z112" s="591"/>
      <c r="AA112" s="591"/>
      <c r="AB112" s="591"/>
      <c r="AC112" s="591"/>
      <c r="AD112" s="591"/>
      <c r="AE112" s="592"/>
      <c r="AF112" s="339"/>
      <c r="AG112" s="331"/>
      <c r="AH112" s="614" t="s">
        <v>601</v>
      </c>
      <c r="AI112" s="616"/>
      <c r="AJ112" s="616"/>
      <c r="AK112" s="616"/>
      <c r="AL112" s="616"/>
      <c r="AM112" s="616"/>
      <c r="AN112" s="617"/>
      <c r="AO112" s="339"/>
      <c r="AP112" s="331"/>
      <c r="AQ112" s="621" t="s">
        <v>603</v>
      </c>
      <c r="AR112" s="622"/>
      <c r="AS112" s="622"/>
      <c r="AT112" s="622"/>
      <c r="AU112" s="622"/>
      <c r="AV112" s="622"/>
      <c r="AW112" s="622"/>
      <c r="AX112" s="623"/>
      <c r="AY112" s="310"/>
      <c r="AZ112" s="311"/>
      <c r="BD112"/>
      <c r="BE112"/>
      <c r="BF112"/>
      <c r="BG112"/>
      <c r="BH112"/>
      <c r="BI112"/>
      <c r="BJ112"/>
      <c r="BK112"/>
      <c r="BL112"/>
    </row>
    <row r="113" spans="2:64" ht="15" x14ac:dyDescent="0.25">
      <c r="B113" s="122"/>
      <c r="C113" s="122"/>
      <c r="D113" s="122"/>
      <c r="E113" s="122"/>
      <c r="I113" s="78"/>
      <c r="J113" s="123"/>
      <c r="K113" s="122"/>
      <c r="L113" s="122"/>
      <c r="M113" s="122"/>
      <c r="O113" s="262"/>
      <c r="P113" s="593"/>
      <c r="Q113" s="594"/>
      <c r="R113" s="594"/>
      <c r="S113" s="594"/>
      <c r="T113" s="594"/>
      <c r="U113" s="594"/>
      <c r="V113" s="595"/>
      <c r="W113" s="340"/>
      <c r="X113" s="337"/>
      <c r="Y113" s="615"/>
      <c r="Z113" s="594"/>
      <c r="AA113" s="594"/>
      <c r="AB113" s="594"/>
      <c r="AC113" s="594"/>
      <c r="AD113" s="594"/>
      <c r="AE113" s="595"/>
      <c r="AF113" s="340"/>
      <c r="AG113" s="337"/>
      <c r="AH113" s="618"/>
      <c r="AI113" s="619"/>
      <c r="AJ113" s="619"/>
      <c r="AK113" s="619"/>
      <c r="AL113" s="619"/>
      <c r="AM113" s="619"/>
      <c r="AN113" s="620"/>
      <c r="AO113" s="340"/>
      <c r="AP113" s="337"/>
      <c r="AQ113" s="624"/>
      <c r="AR113" s="625"/>
      <c r="AS113" s="625"/>
      <c r="AT113" s="625"/>
      <c r="AU113" s="625"/>
      <c r="AV113" s="625"/>
      <c r="AW113" s="625"/>
      <c r="AX113" s="626"/>
      <c r="AY113" s="336"/>
      <c r="AZ113" s="338"/>
      <c r="BD113"/>
      <c r="BE113"/>
      <c r="BF113"/>
      <c r="BG113"/>
      <c r="BH113"/>
      <c r="BI113"/>
      <c r="BJ113"/>
      <c r="BK113"/>
      <c r="BL113"/>
    </row>
    <row r="114" spans="2:64" ht="14.1" customHeight="1" x14ac:dyDescent="0.25">
      <c r="I114" s="78"/>
      <c r="J114" s="123"/>
      <c r="K114" s="122"/>
      <c r="L114" s="122"/>
      <c r="M114" s="122"/>
      <c r="O114" s="262"/>
      <c r="P114" s="596" t="s">
        <v>605</v>
      </c>
      <c r="Q114" s="597"/>
      <c r="R114" s="597"/>
      <c r="S114" s="597"/>
      <c r="T114" s="597"/>
      <c r="U114" s="597"/>
      <c r="V114" s="598"/>
      <c r="W114" s="326"/>
      <c r="X114" s="315"/>
      <c r="Y114" s="627" t="s">
        <v>600</v>
      </c>
      <c r="Z114" s="628"/>
      <c r="AA114" s="628"/>
      <c r="AB114" s="628"/>
      <c r="AC114" s="628"/>
      <c r="AD114" s="628"/>
      <c r="AE114" s="629"/>
      <c r="AF114" s="326"/>
      <c r="AG114" s="315"/>
      <c r="AH114" s="633" t="s">
        <v>602</v>
      </c>
      <c r="AI114" s="634"/>
      <c r="AJ114" s="634"/>
      <c r="AK114" s="634"/>
      <c r="AL114" s="634"/>
      <c r="AM114" s="634"/>
      <c r="AN114" s="635"/>
      <c r="AO114" s="326"/>
      <c r="AP114" s="315"/>
      <c r="AQ114" s="639" t="s">
        <v>604</v>
      </c>
      <c r="AR114" s="640"/>
      <c r="AS114" s="640"/>
      <c r="AT114" s="640"/>
      <c r="AU114" s="640"/>
      <c r="AV114" s="640"/>
      <c r="AW114" s="640"/>
      <c r="AX114" s="641"/>
      <c r="AY114" s="262"/>
      <c r="AZ114" s="312"/>
      <c r="BD114"/>
      <c r="BE114"/>
      <c r="BF114"/>
      <c r="BG114"/>
      <c r="BH114"/>
      <c r="BI114"/>
      <c r="BJ114"/>
      <c r="BK114"/>
      <c r="BL114"/>
    </row>
    <row r="115" spans="2:64" ht="15" customHeight="1" thickBot="1" x14ac:dyDescent="0.3">
      <c r="I115" s="78"/>
      <c r="J115" s="123"/>
      <c r="O115" s="262"/>
      <c r="P115" s="599"/>
      <c r="Q115" s="600"/>
      <c r="R115" s="600"/>
      <c r="S115" s="600"/>
      <c r="T115" s="600"/>
      <c r="U115" s="600"/>
      <c r="V115" s="601"/>
      <c r="W115" s="325"/>
      <c r="X115" s="316"/>
      <c r="Y115" s="630"/>
      <c r="Z115" s="631"/>
      <c r="AA115" s="631"/>
      <c r="AB115" s="631"/>
      <c r="AC115" s="631"/>
      <c r="AD115" s="631"/>
      <c r="AE115" s="632"/>
      <c r="AF115" s="325"/>
      <c r="AG115" s="316"/>
      <c r="AH115" s="636"/>
      <c r="AI115" s="637"/>
      <c r="AJ115" s="637"/>
      <c r="AK115" s="637"/>
      <c r="AL115" s="637"/>
      <c r="AM115" s="637"/>
      <c r="AN115" s="638"/>
      <c r="AO115" s="325"/>
      <c r="AP115" s="316"/>
      <c r="AQ115" s="642"/>
      <c r="AR115" s="643"/>
      <c r="AS115" s="643"/>
      <c r="AT115" s="643"/>
      <c r="AU115" s="643"/>
      <c r="AV115" s="643"/>
      <c r="AW115" s="643"/>
      <c r="AX115" s="644"/>
      <c r="AY115" s="313"/>
      <c r="AZ115" s="314"/>
      <c r="BD115"/>
      <c r="BE115"/>
      <c r="BF115"/>
      <c r="BG115"/>
      <c r="BH115"/>
      <c r="BI115"/>
      <c r="BJ115"/>
      <c r="BK115"/>
      <c r="BL115"/>
    </row>
    <row r="116" spans="2:64" ht="15.75" thickBot="1" x14ac:dyDescent="0.3">
      <c r="J116" s="122"/>
      <c r="K116" s="122"/>
      <c r="L116" s="122"/>
      <c r="M116" s="12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262"/>
      <c r="AI116" s="262"/>
      <c r="AJ116" s="262"/>
      <c r="AK116" s="262"/>
      <c r="AL116" s="262"/>
      <c r="AM116" s="262"/>
      <c r="AN116" s="262"/>
      <c r="AO116" s="262"/>
      <c r="AP116" s="262"/>
      <c r="AQ116" s="262"/>
      <c r="AR116" s="262"/>
      <c r="AS116" s="262"/>
      <c r="AT116" s="262"/>
      <c r="AU116" s="262"/>
      <c r="AV116" s="262"/>
      <c r="AW116" s="262"/>
      <c r="AX116" s="262"/>
      <c r="AY116" s="262"/>
      <c r="AZ116" s="78"/>
      <c r="BD116"/>
      <c r="BE116"/>
      <c r="BF116"/>
      <c r="BG116"/>
      <c r="BH116"/>
      <c r="BI116"/>
      <c r="BJ116"/>
      <c r="BK116"/>
      <c r="BL116"/>
    </row>
    <row r="117" spans="2:64" ht="14.1" customHeight="1" thickBot="1" x14ac:dyDescent="0.3">
      <c r="B117" s="69"/>
      <c r="C117" s="69"/>
      <c r="D117" s="69"/>
      <c r="E117" s="78"/>
      <c r="F117" s="78"/>
      <c r="G117" s="78"/>
      <c r="H117" s="78"/>
      <c r="I117" s="78"/>
      <c r="J117" s="78"/>
      <c r="O117" s="78"/>
      <c r="P117" s="602" t="s">
        <v>613</v>
      </c>
      <c r="Q117" s="603"/>
      <c r="R117" s="603"/>
      <c r="S117" s="603"/>
      <c r="T117" s="603"/>
      <c r="U117" s="603"/>
      <c r="V117" s="603"/>
      <c r="W117" s="603"/>
      <c r="X117" s="603"/>
      <c r="Y117" s="603"/>
      <c r="Z117" s="603"/>
      <c r="AA117" s="603"/>
      <c r="AB117" s="603"/>
      <c r="AC117" s="603"/>
      <c r="AD117" s="603"/>
      <c r="AE117" s="603"/>
      <c r="AF117" s="603"/>
      <c r="AG117" s="603"/>
      <c r="AH117" s="603"/>
      <c r="AI117" s="603"/>
      <c r="AJ117" s="603"/>
      <c r="AK117" s="603"/>
      <c r="AL117" s="603"/>
      <c r="AM117" s="603"/>
      <c r="AN117" s="603"/>
      <c r="AO117" s="603"/>
      <c r="AP117" s="603"/>
      <c r="AQ117" s="603"/>
      <c r="AR117" s="603"/>
      <c r="AS117" s="603"/>
      <c r="AT117" s="603"/>
      <c r="AU117" s="603"/>
      <c r="AV117" s="603"/>
      <c r="AW117" s="603"/>
      <c r="AX117" s="603"/>
      <c r="AY117" s="603"/>
      <c r="AZ117" s="604"/>
      <c r="BD117"/>
      <c r="BE117"/>
      <c r="BF117"/>
      <c r="BG117"/>
      <c r="BH117"/>
      <c r="BI117"/>
      <c r="BJ117"/>
      <c r="BK117"/>
      <c r="BL117"/>
    </row>
    <row r="118" spans="2:64" ht="14.1" customHeight="1" x14ac:dyDescent="0.2">
      <c r="E118" s="98"/>
      <c r="F118" s="98"/>
      <c r="G118" s="98"/>
      <c r="H118" s="98"/>
      <c r="I118" s="98"/>
      <c r="J118" s="98"/>
      <c r="K118" s="98"/>
      <c r="L118" s="98"/>
      <c r="M118" s="98"/>
      <c r="O118" s="78"/>
      <c r="P118" s="524"/>
      <c r="Q118" s="525"/>
      <c r="R118" s="525"/>
      <c r="S118" s="525"/>
      <c r="T118" s="525"/>
      <c r="U118" s="525"/>
      <c r="V118" s="525"/>
      <c r="W118" s="525"/>
      <c r="X118" s="525"/>
      <c r="Y118" s="526"/>
      <c r="Z118" s="341"/>
      <c r="AA118" s="341"/>
      <c r="AB118" s="341"/>
      <c r="AC118" s="341"/>
      <c r="AD118" s="341"/>
      <c r="AE118" s="341"/>
      <c r="AF118" s="341"/>
      <c r="AG118" s="341"/>
      <c r="AH118" s="341"/>
      <c r="AI118" s="341"/>
      <c r="AJ118" s="341"/>
      <c r="AK118" s="341"/>
      <c r="AL118" s="341"/>
      <c r="AM118" s="341"/>
      <c r="AN118" s="341"/>
      <c r="AO118" s="341"/>
      <c r="AP118" s="341"/>
      <c r="AQ118" s="341"/>
      <c r="AR118" s="341"/>
      <c r="AS118" s="341"/>
      <c r="AT118" s="341"/>
      <c r="AU118" s="341"/>
      <c r="AV118" s="341"/>
      <c r="AW118" s="341"/>
      <c r="AX118" s="341"/>
      <c r="AY118" s="341"/>
      <c r="AZ118" s="342"/>
    </row>
    <row r="119" spans="2:64" ht="12.95" customHeight="1" x14ac:dyDescent="0.2">
      <c r="B119" s="245"/>
      <c r="C119" s="245"/>
      <c r="D119" s="245"/>
      <c r="E119" s="216"/>
      <c r="F119" s="216"/>
      <c r="G119" s="216"/>
      <c r="H119" s="216"/>
      <c r="I119" s="216"/>
      <c r="J119" s="216"/>
      <c r="K119" s="98"/>
      <c r="L119" s="98"/>
      <c r="M119" s="98"/>
      <c r="O119" s="78"/>
      <c r="P119" s="527"/>
      <c r="Q119" s="528"/>
      <c r="R119" s="528"/>
      <c r="S119" s="528"/>
      <c r="T119" s="528"/>
      <c r="U119" s="528"/>
      <c r="V119" s="528"/>
      <c r="W119" s="528"/>
      <c r="X119" s="528"/>
      <c r="Y119" s="529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  <c r="AM119" s="246"/>
      <c r="AN119" s="246"/>
      <c r="AO119" s="246"/>
      <c r="AP119" s="246"/>
      <c r="AQ119" s="246"/>
      <c r="AR119" s="246"/>
      <c r="AS119" s="246"/>
      <c r="AT119" s="246"/>
      <c r="AU119" s="246"/>
      <c r="AV119" s="246"/>
      <c r="AW119" s="246"/>
      <c r="AX119" s="246"/>
      <c r="AY119" s="246"/>
      <c r="AZ119" s="343"/>
    </row>
    <row r="120" spans="2:64" ht="14.1" customHeight="1" x14ac:dyDescent="0.2">
      <c r="B120" s="98"/>
      <c r="C120" s="97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O120" s="78"/>
      <c r="P120" s="584"/>
      <c r="Q120" s="585"/>
      <c r="R120" s="585"/>
      <c r="S120" s="585"/>
      <c r="T120" s="585"/>
      <c r="U120" s="585"/>
      <c r="V120" s="585"/>
      <c r="W120" s="585"/>
      <c r="X120" s="585"/>
      <c r="Y120" s="586"/>
      <c r="Z120" s="346"/>
      <c r="AA120" s="346"/>
      <c r="AB120" s="346"/>
      <c r="AC120" s="346"/>
      <c r="AD120" s="346"/>
      <c r="AE120" s="346"/>
      <c r="AF120" s="346"/>
      <c r="AG120" s="346"/>
      <c r="AH120" s="346"/>
      <c r="AI120" s="346"/>
      <c r="AJ120" s="346"/>
      <c r="AK120" s="346"/>
      <c r="AL120" s="346"/>
      <c r="AM120" s="346"/>
      <c r="AN120" s="346"/>
      <c r="AO120" s="346"/>
      <c r="AP120" s="346"/>
      <c r="AQ120" s="346"/>
      <c r="AR120" s="346"/>
      <c r="AS120" s="346"/>
      <c r="AT120" s="346"/>
      <c r="AU120" s="346"/>
      <c r="AV120" s="346"/>
      <c r="AW120" s="346"/>
      <c r="AX120" s="346"/>
      <c r="AY120" s="346"/>
      <c r="AZ120" s="347"/>
    </row>
    <row r="121" spans="2:64" ht="12.95" customHeight="1" x14ac:dyDescent="0.2"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O121" s="78"/>
      <c r="P121" s="527"/>
      <c r="Q121" s="528"/>
      <c r="R121" s="528"/>
      <c r="S121" s="528"/>
      <c r="T121" s="528"/>
      <c r="U121" s="528"/>
      <c r="V121" s="528"/>
      <c r="W121" s="528"/>
      <c r="X121" s="528"/>
      <c r="Y121" s="529"/>
      <c r="Z121" s="348"/>
      <c r="AA121" s="348"/>
      <c r="AB121" s="348"/>
      <c r="AC121" s="348"/>
      <c r="AD121" s="348"/>
      <c r="AE121" s="348"/>
      <c r="AF121" s="348"/>
      <c r="AG121" s="348"/>
      <c r="AH121" s="348"/>
      <c r="AI121" s="348"/>
      <c r="AJ121" s="348"/>
      <c r="AK121" s="348"/>
      <c r="AL121" s="348"/>
      <c r="AM121" s="348"/>
      <c r="AN121" s="348"/>
      <c r="AO121" s="348"/>
      <c r="AP121" s="348"/>
      <c r="AQ121" s="348"/>
      <c r="AR121" s="348"/>
      <c r="AS121" s="348"/>
      <c r="AT121" s="348"/>
      <c r="AU121" s="348"/>
      <c r="AV121" s="348"/>
      <c r="AW121" s="348"/>
      <c r="AX121" s="348"/>
      <c r="AY121" s="348"/>
      <c r="AZ121" s="349"/>
    </row>
    <row r="122" spans="2:64" ht="14.1" customHeight="1" x14ac:dyDescent="0.2">
      <c r="B122" s="216"/>
      <c r="C122" s="215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O122" s="78"/>
      <c r="P122" s="584"/>
      <c r="Q122" s="585"/>
      <c r="R122" s="585"/>
      <c r="S122" s="585"/>
      <c r="T122" s="585"/>
      <c r="U122" s="585"/>
      <c r="V122" s="585"/>
      <c r="W122" s="585"/>
      <c r="X122" s="585"/>
      <c r="Y122" s="58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  <c r="AM122" s="246"/>
      <c r="AN122" s="246"/>
      <c r="AO122" s="246"/>
      <c r="AP122" s="246"/>
      <c r="AQ122" s="246"/>
      <c r="AR122" s="246"/>
      <c r="AS122" s="246"/>
      <c r="AT122" s="246"/>
      <c r="AU122" s="246"/>
      <c r="AV122" s="246"/>
      <c r="AW122" s="246"/>
      <c r="AX122" s="246"/>
      <c r="AY122" s="246"/>
      <c r="AZ122" s="343"/>
    </row>
    <row r="123" spans="2:64" ht="14.1" customHeight="1" thickBot="1" x14ac:dyDescent="0.25">
      <c r="B123" s="216"/>
      <c r="C123" s="215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O123" s="78"/>
      <c r="P123" s="587"/>
      <c r="Q123" s="588"/>
      <c r="R123" s="588"/>
      <c r="S123" s="588"/>
      <c r="T123" s="588"/>
      <c r="U123" s="588"/>
      <c r="V123" s="588"/>
      <c r="W123" s="588"/>
      <c r="X123" s="588"/>
      <c r="Y123" s="589"/>
      <c r="Z123" s="344"/>
      <c r="AA123" s="344"/>
      <c r="AB123" s="344"/>
      <c r="AC123" s="344"/>
      <c r="AD123" s="344"/>
      <c r="AE123" s="344"/>
      <c r="AF123" s="344"/>
      <c r="AG123" s="344"/>
      <c r="AH123" s="344"/>
      <c r="AI123" s="344"/>
      <c r="AJ123" s="344"/>
      <c r="AK123" s="344"/>
      <c r="AL123" s="344"/>
      <c r="AM123" s="344"/>
      <c r="AN123" s="344"/>
      <c r="AO123" s="344"/>
      <c r="AP123" s="344"/>
      <c r="AQ123" s="344"/>
      <c r="AR123" s="344"/>
      <c r="AS123" s="344"/>
      <c r="AT123" s="344"/>
      <c r="AU123" s="344"/>
      <c r="AV123" s="344"/>
      <c r="AW123" s="344"/>
      <c r="AX123" s="344"/>
      <c r="AY123" s="344"/>
      <c r="AZ123" s="345"/>
    </row>
    <row r="124" spans="2:64" x14ac:dyDescent="0.2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O124" s="78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262"/>
      <c r="AF124" s="262"/>
      <c r="AG124" s="262"/>
      <c r="AH124" s="262"/>
      <c r="AI124" s="262"/>
      <c r="AJ124" s="262"/>
      <c r="AK124" s="262"/>
      <c r="AL124" s="262"/>
      <c r="AM124" s="262"/>
      <c r="AN124" s="262"/>
      <c r="AO124" s="262"/>
      <c r="AP124" s="262"/>
      <c r="AQ124" s="262"/>
      <c r="AR124" s="262"/>
      <c r="AS124" s="262"/>
      <c r="AT124" s="262"/>
      <c r="AU124" s="262"/>
      <c r="AV124" s="262"/>
      <c r="AW124" s="262"/>
      <c r="AX124" s="262"/>
      <c r="AY124" s="262"/>
      <c r="AZ124" s="78"/>
    </row>
    <row r="125" spans="2:64" ht="13.5" thickBot="1" x14ac:dyDescent="0.25">
      <c r="B125" s="216"/>
      <c r="C125" s="215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O125" s="78"/>
      <c r="P125" s="246" t="s">
        <v>618</v>
      </c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62"/>
      <c r="AE125" s="313"/>
      <c r="AF125" s="313"/>
      <c r="AG125" s="313"/>
      <c r="AH125" s="313"/>
      <c r="AI125" s="313"/>
      <c r="AJ125" s="313"/>
      <c r="AK125" s="313"/>
      <c r="AL125" s="313"/>
      <c r="AM125" s="313"/>
      <c r="AN125" s="313"/>
      <c r="AO125" s="313"/>
      <c r="AP125" s="313"/>
      <c r="AQ125" s="313"/>
      <c r="AR125" s="313"/>
      <c r="AS125" s="313"/>
      <c r="AT125" s="313"/>
      <c r="AU125" s="313"/>
      <c r="AV125" s="313"/>
      <c r="AW125" s="313"/>
      <c r="AX125" s="313"/>
      <c r="AY125" s="313"/>
      <c r="AZ125" s="354"/>
    </row>
    <row r="126" spans="2:64" x14ac:dyDescent="0.2">
      <c r="B126" s="216"/>
      <c r="C126" s="215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2"/>
      <c r="AP126" s="262"/>
      <c r="AQ126" s="262"/>
      <c r="AR126" s="262"/>
      <c r="AS126" s="262"/>
      <c r="AT126" s="262"/>
      <c r="AU126" s="262"/>
      <c r="AV126" s="262"/>
      <c r="AW126" s="262"/>
      <c r="AX126" s="262"/>
      <c r="AY126" s="78"/>
      <c r="AZ126" s="78"/>
    </row>
    <row r="127" spans="2:64" ht="13.5" thickBot="1" x14ac:dyDescent="0.25">
      <c r="O127" s="262"/>
      <c r="P127" s="246" t="s">
        <v>616</v>
      </c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313"/>
      <c r="AK127" s="313"/>
      <c r="AL127" s="313"/>
      <c r="AM127" s="313"/>
      <c r="AN127" s="313"/>
      <c r="AO127" s="313"/>
      <c r="AP127" s="313"/>
      <c r="AQ127" s="313"/>
      <c r="AR127" s="313"/>
      <c r="AS127" s="313"/>
      <c r="AT127" s="313"/>
      <c r="AU127" s="313"/>
      <c r="AV127" s="313"/>
      <c r="AW127" s="313"/>
      <c r="AX127" s="313"/>
      <c r="AY127" s="354"/>
      <c r="AZ127" s="354"/>
    </row>
    <row r="128" spans="2:64" x14ac:dyDescent="0.2">
      <c r="B128" s="69"/>
      <c r="D128" s="78"/>
      <c r="E128" s="78"/>
      <c r="F128" s="78"/>
      <c r="G128" s="78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2"/>
      <c r="AP128" s="262"/>
      <c r="AQ128" s="262"/>
      <c r="AR128" s="262"/>
      <c r="AS128" s="262"/>
      <c r="AT128" s="262"/>
      <c r="AU128" s="262"/>
      <c r="AV128" s="262"/>
      <c r="AW128" s="262"/>
      <c r="AX128" s="262"/>
      <c r="AY128" s="78"/>
      <c r="AZ128" s="78"/>
    </row>
    <row r="129" spans="15:50" x14ac:dyDescent="0.2"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  <c r="AE129" s="262"/>
      <c r="AF129" s="262"/>
      <c r="AG129" s="262"/>
      <c r="AH129" s="262"/>
      <c r="AI129" s="262"/>
      <c r="AJ129" s="262"/>
      <c r="AK129" s="262"/>
      <c r="AL129" s="262"/>
      <c r="AM129" s="262"/>
      <c r="AN129" s="262"/>
      <c r="AO129" s="262"/>
      <c r="AP129" s="262"/>
      <c r="AQ129" s="262"/>
      <c r="AR129" s="262"/>
      <c r="AS129" s="262"/>
      <c r="AT129" s="262"/>
      <c r="AU129" s="262"/>
      <c r="AV129" s="262"/>
      <c r="AW129" s="262"/>
      <c r="AX129" s="262"/>
    </row>
    <row r="130" spans="15:50" x14ac:dyDescent="0.2"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62"/>
      <c r="AE130" s="262"/>
      <c r="AF130" s="262"/>
      <c r="AG130" s="262"/>
      <c r="AH130" s="262"/>
      <c r="AI130" s="262"/>
      <c r="AJ130" s="262"/>
      <c r="AK130" s="262"/>
      <c r="AL130" s="262"/>
      <c r="AM130" s="262"/>
      <c r="AN130" s="262"/>
      <c r="AO130" s="262"/>
      <c r="AP130" s="262"/>
      <c r="AQ130" s="262"/>
      <c r="AR130" s="262"/>
      <c r="AS130" s="262"/>
      <c r="AT130" s="262"/>
      <c r="AU130" s="262"/>
      <c r="AV130" s="262"/>
      <c r="AW130" s="262"/>
      <c r="AX130" s="262"/>
    </row>
  </sheetData>
  <mergeCells count="173">
    <mergeCell ref="S73:U75"/>
    <mergeCell ref="V73:X75"/>
    <mergeCell ref="Y73:AB75"/>
    <mergeCell ref="S79:U79"/>
    <mergeCell ref="V79:X79"/>
    <mergeCell ref="Y79:AB79"/>
    <mergeCell ref="S83:U85"/>
    <mergeCell ref="S97:U97"/>
    <mergeCell ref="V97:X97"/>
    <mergeCell ref="Y97:AB97"/>
    <mergeCell ref="V89:X89"/>
    <mergeCell ref="Y89:AB89"/>
    <mergeCell ref="S78:U78"/>
    <mergeCell ref="V78:X78"/>
    <mergeCell ref="Y78:AB78"/>
    <mergeCell ref="S88:U88"/>
    <mergeCell ref="V88:X88"/>
    <mergeCell ref="Y88:AB88"/>
    <mergeCell ref="V83:X85"/>
    <mergeCell ref="Y83:AB85"/>
    <mergeCell ref="S89:U89"/>
    <mergeCell ref="Y93:AB95"/>
    <mergeCell ref="S76:U76"/>
    <mergeCell ref="V76:X76"/>
    <mergeCell ref="R102:Z102"/>
    <mergeCell ref="AA102:AU102"/>
    <mergeCell ref="S99:U99"/>
    <mergeCell ref="V99:X99"/>
    <mergeCell ref="Y99:AB99"/>
    <mergeCell ref="P120:Y121"/>
    <mergeCell ref="P122:Y123"/>
    <mergeCell ref="P112:V113"/>
    <mergeCell ref="P114:V115"/>
    <mergeCell ref="P111:AZ111"/>
    <mergeCell ref="P106:W106"/>
    <mergeCell ref="P107:W107"/>
    <mergeCell ref="P108:W108"/>
    <mergeCell ref="Y112:AE113"/>
    <mergeCell ref="AH112:AN113"/>
    <mergeCell ref="AQ112:AX113"/>
    <mergeCell ref="Y114:AE115"/>
    <mergeCell ref="AH114:AN115"/>
    <mergeCell ref="AQ114:AX115"/>
    <mergeCell ref="P109:W109"/>
    <mergeCell ref="Y106:AZ106"/>
    <mergeCell ref="AG107:AP107"/>
    <mergeCell ref="AQ107:AZ107"/>
    <mergeCell ref="P117:AZ117"/>
    <mergeCell ref="P118:Y119"/>
    <mergeCell ref="R103:T104"/>
    <mergeCell ref="U103:W104"/>
    <mergeCell ref="X103:Z104"/>
    <mergeCell ref="AA103:AU104"/>
    <mergeCell ref="R40:U40"/>
    <mergeCell ref="V40:Y40"/>
    <mergeCell ref="AK40:AM40"/>
    <mergeCell ref="AO41:AS42"/>
    <mergeCell ref="AT41:AX42"/>
    <mergeCell ref="AO73:AU73"/>
    <mergeCell ref="S86:U86"/>
    <mergeCell ref="V86:X86"/>
    <mergeCell ref="Y86:AB86"/>
    <mergeCell ref="S87:U87"/>
    <mergeCell ref="V87:X87"/>
    <mergeCell ref="Y87:AB87"/>
    <mergeCell ref="S98:U98"/>
    <mergeCell ref="V98:X98"/>
    <mergeCell ref="Y98:AB98"/>
    <mergeCell ref="Y76:AB76"/>
    <mergeCell ref="O67:AZ67"/>
    <mergeCell ref="S93:U95"/>
    <mergeCell ref="V93:X95"/>
    <mergeCell ref="AH39:AM39"/>
    <mergeCell ref="AO47:AS48"/>
    <mergeCell ref="AT47:AX48"/>
    <mergeCell ref="AT40:AX40"/>
    <mergeCell ref="AH41:AJ42"/>
    <mergeCell ref="AK41:AM42"/>
    <mergeCell ref="AH43:AJ44"/>
    <mergeCell ref="AK43:AM44"/>
    <mergeCell ref="AH45:AJ46"/>
    <mergeCell ref="AK45:AM46"/>
    <mergeCell ref="AH47:AJ48"/>
    <mergeCell ref="AK47:AM48"/>
    <mergeCell ref="AO43:AS44"/>
    <mergeCell ref="AT43:AX44"/>
    <mergeCell ref="AO45:AS46"/>
    <mergeCell ref="AT45:AX46"/>
    <mergeCell ref="AH40:AJ40"/>
    <mergeCell ref="S1:Y1"/>
    <mergeCell ref="AN2:AT2"/>
    <mergeCell ref="S3:AB3"/>
    <mergeCell ref="S2:AM2"/>
    <mergeCell ref="B45:E46"/>
    <mergeCell ref="B36:F36"/>
    <mergeCell ref="B40:F40"/>
    <mergeCell ref="O38:AC38"/>
    <mergeCell ref="B42:E43"/>
    <mergeCell ref="AS10:AV10"/>
    <mergeCell ref="T6:W6"/>
    <mergeCell ref="AE3:AG3"/>
    <mergeCell ref="AB8:AX8"/>
    <mergeCell ref="AD38:AZ38"/>
    <mergeCell ref="O32:R32"/>
    <mergeCell ref="V39:AC39"/>
    <mergeCell ref="AO39:AX39"/>
    <mergeCell ref="Z40:AC40"/>
    <mergeCell ref="O41:Q42"/>
    <mergeCell ref="R41:U42"/>
    <mergeCell ref="V41:Y42"/>
    <mergeCell ref="Z41:AC42"/>
    <mergeCell ref="O39:U39"/>
    <mergeCell ref="O40:Q40"/>
    <mergeCell ref="P8:Q8"/>
    <mergeCell ref="S8:U8"/>
    <mergeCell ref="S4:AB4"/>
    <mergeCell ref="AC4:AL4"/>
    <mergeCell ref="AM4:AT4"/>
    <mergeCell ref="W8:Y8"/>
    <mergeCell ref="V12:Y12"/>
    <mergeCell ref="AW10:AZ10"/>
    <mergeCell ref="O12:P12"/>
    <mergeCell ref="O10:Q10"/>
    <mergeCell ref="S10:U10"/>
    <mergeCell ref="V10:Z10"/>
    <mergeCell ref="AC10:AG10"/>
    <mergeCell ref="AK10:AM10"/>
    <mergeCell ref="AO10:AQ10"/>
    <mergeCell ref="AW9:AZ9"/>
    <mergeCell ref="C63:D63"/>
    <mergeCell ref="H63:I63"/>
    <mergeCell ref="B5:B6"/>
    <mergeCell ref="J5:K5"/>
    <mergeCell ref="L5:M5"/>
    <mergeCell ref="C1:D1"/>
    <mergeCell ref="C5:D5"/>
    <mergeCell ref="E5:F5"/>
    <mergeCell ref="G5:H5"/>
    <mergeCell ref="B54:D54"/>
    <mergeCell ref="B56:D56"/>
    <mergeCell ref="AL73:AN73"/>
    <mergeCell ref="S96:U96"/>
    <mergeCell ref="V96:X96"/>
    <mergeCell ref="Y96:AB96"/>
    <mergeCell ref="AO72:AU72"/>
    <mergeCell ref="AO74:AU75"/>
    <mergeCell ref="AL72:AN72"/>
    <mergeCell ref="AL74:AN75"/>
    <mergeCell ref="AO78:AU78"/>
    <mergeCell ref="AO79:AU79"/>
    <mergeCell ref="AO80:AU81"/>
    <mergeCell ref="AL78:AN78"/>
    <mergeCell ref="AL79:AN79"/>
    <mergeCell ref="AL80:AN81"/>
    <mergeCell ref="AO84:AU84"/>
    <mergeCell ref="AO85:AU85"/>
    <mergeCell ref="AO86:AU87"/>
    <mergeCell ref="AL94:AN95"/>
    <mergeCell ref="AO94:AU95"/>
    <mergeCell ref="S77:U77"/>
    <mergeCell ref="V77:X77"/>
    <mergeCell ref="Y77:AB77"/>
    <mergeCell ref="AL84:AN84"/>
    <mergeCell ref="AL85:AN85"/>
    <mergeCell ref="AL86:AN87"/>
    <mergeCell ref="AO90:AU91"/>
    <mergeCell ref="AO92:AU93"/>
    <mergeCell ref="AL92:AN93"/>
    <mergeCell ref="AL90:AN91"/>
    <mergeCell ref="AO98:AU98"/>
    <mergeCell ref="AO99:AU99"/>
    <mergeCell ref="AL98:AN98"/>
    <mergeCell ref="AL99:AN99"/>
  </mergeCells>
  <pageMargins left="0.7" right="0.7" top="0.75" bottom="0.75" header="0.3" footer="0.3"/>
  <pageSetup scale="60" fitToHeight="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BCB422AA-ECD6-40D7-8BBB-EE964DFC19C9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B13:D15</xm:sqref>
        </x14:conditionalFormatting>
        <x14:conditionalFormatting xmlns:xm="http://schemas.microsoft.com/office/excel/2006/main">
          <x14:cfRule type="expression" priority="11" id="{DF655653-E5DB-48F9-8EF0-1FE325FE754F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B16:D18</xm:sqref>
        </x14:conditionalFormatting>
        <x14:conditionalFormatting xmlns:xm="http://schemas.microsoft.com/office/excel/2006/main">
          <x14:cfRule type="expression" priority="16" id="{E5441CAD-7277-4CE0-A1D3-06D6FDB2C10D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E15:H15</xm:sqref>
        </x14:conditionalFormatting>
        <x14:conditionalFormatting xmlns:xm="http://schemas.microsoft.com/office/excel/2006/main">
          <x14:cfRule type="expression" priority="15" id="{C5ADC57E-3BD9-426E-8322-D657933CB71F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E18:H18</xm:sqref>
        </x14:conditionalFormatting>
        <x14:conditionalFormatting xmlns:xm="http://schemas.microsoft.com/office/excel/2006/main">
          <x14:cfRule type="expression" priority="10" id="{7009FAAE-30E7-4F9D-9E11-2310790A7352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J15:M15</xm:sqref>
        </x14:conditionalFormatting>
        <x14:conditionalFormatting xmlns:xm="http://schemas.microsoft.com/office/excel/2006/main">
          <x14:cfRule type="expression" priority="9" id="{C57655B7-5D85-4330-91C7-A153B8EB8CBA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J18:M18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40"/>
  <sheetViews>
    <sheetView workbookViewId="0">
      <selection activeCell="H8" sqref="H8"/>
    </sheetView>
  </sheetViews>
  <sheetFormatPr defaultColWidth="8.85546875" defaultRowHeight="15" x14ac:dyDescent="0.25"/>
  <cols>
    <col min="2" max="2" width="6.140625" customWidth="1"/>
    <col min="3" max="3" width="14.42578125" customWidth="1"/>
    <col min="6" max="6" width="14" customWidth="1"/>
    <col min="8" max="8" width="10.42578125" customWidth="1"/>
    <col min="9" max="9" width="9.140625" bestFit="1" customWidth="1"/>
    <col min="10" max="10" width="9" bestFit="1" customWidth="1"/>
  </cols>
  <sheetData>
    <row r="1" spans="1:10" x14ac:dyDescent="0.25">
      <c r="A1" s="679" t="s">
        <v>45</v>
      </c>
      <c r="B1" s="680"/>
      <c r="C1" s="680"/>
      <c r="D1" s="680"/>
      <c r="E1" s="680"/>
      <c r="F1" s="680"/>
      <c r="G1" s="680"/>
      <c r="H1" s="680"/>
      <c r="I1" s="680"/>
      <c r="J1" s="681"/>
    </row>
    <row r="2" spans="1:10" ht="22.5" x14ac:dyDescent="0.25">
      <c r="A2" s="172" t="s">
        <v>46</v>
      </c>
      <c r="B2" s="173" t="s">
        <v>47</v>
      </c>
      <c r="C2" s="690" t="s">
        <v>48</v>
      </c>
      <c r="D2" s="690"/>
      <c r="E2" s="690"/>
      <c r="F2" s="174" t="s">
        <v>49</v>
      </c>
      <c r="G2" s="174" t="s">
        <v>50</v>
      </c>
      <c r="H2" s="175" t="s">
        <v>58</v>
      </c>
      <c r="I2" s="175" t="s">
        <v>110</v>
      </c>
      <c r="J2" s="176" t="s">
        <v>111</v>
      </c>
    </row>
    <row r="3" spans="1:10" ht="30" customHeight="1" x14ac:dyDescent="0.25">
      <c r="A3" s="177" t="s">
        <v>115</v>
      </c>
      <c r="B3" s="178" t="e">
        <f>IF('Start Here'!B13="Other",'Start Here'!B43,VLOOKUP('Start Here'!$B$13,'Reference Tables'!$A$69:$E$213,2,FALSE))</f>
        <v>#N/A</v>
      </c>
      <c r="C3" s="686" t="e">
        <f>IF('Start Here'!B13="Heaviest",INDEX('Reference Tables'!A127:A130,MATCH('Reference Tables'!C211,'Reference Tables'!C129:C132)),IF('Start Here'!B13="Other",'Start Here'!B42,VLOOKUP('Start Here'!$B$13,'Reference Tables'!$A$69:$E$213,1,FALSE)))</f>
        <v>#N/A</v>
      </c>
      <c r="D3" s="686"/>
      <c r="E3" s="686"/>
      <c r="F3" s="179">
        <f ca="1">IF(ISBLANK('Start Here'!$B$4),"",'Start Here'!$B$4)</f>
        <v>45923</v>
      </c>
      <c r="G3" s="168" t="s">
        <v>119</v>
      </c>
      <c r="H3" s="180" t="str">
        <f>IF(ISBLANK('Start Here'!$B$5),"",'Start Here'!$B$5)</f>
        <v/>
      </c>
      <c r="I3" s="181" t="str">
        <f>'Start Here'!B11</f>
        <v>NO</v>
      </c>
      <c r="J3" s="182" t="str">
        <f>'Start Here'!B12</f>
        <v>NO</v>
      </c>
    </row>
    <row r="4" spans="1:10" x14ac:dyDescent="0.25">
      <c r="A4" s="691" t="s">
        <v>51</v>
      </c>
      <c r="B4" s="687" t="s">
        <v>52</v>
      </c>
      <c r="C4" s="688"/>
      <c r="D4" s="183" t="s">
        <v>53</v>
      </c>
      <c r="E4" s="183" t="s">
        <v>55</v>
      </c>
      <c r="F4" s="183" t="s">
        <v>57</v>
      </c>
      <c r="G4" s="183" t="s">
        <v>60</v>
      </c>
      <c r="H4" s="183" t="s">
        <v>62</v>
      </c>
      <c r="I4" s="184" t="s">
        <v>92</v>
      </c>
      <c r="J4" s="185" t="s">
        <v>93</v>
      </c>
    </row>
    <row r="5" spans="1:10" ht="15.75" thickBot="1" x14ac:dyDescent="0.3">
      <c r="A5" s="692"/>
      <c r="B5" s="689"/>
      <c r="C5" s="689"/>
      <c r="D5" s="40" t="s">
        <v>54</v>
      </c>
      <c r="E5" s="40" t="s">
        <v>56</v>
      </c>
      <c r="F5" s="40" t="s">
        <v>59</v>
      </c>
      <c r="G5" s="40" t="s">
        <v>61</v>
      </c>
      <c r="H5" s="40" t="s">
        <v>59</v>
      </c>
      <c r="I5" s="39" t="s">
        <v>61</v>
      </c>
      <c r="J5" s="41" t="s">
        <v>61</v>
      </c>
    </row>
    <row r="6" spans="1:10" ht="30" customHeight="1" thickTop="1" x14ac:dyDescent="0.25">
      <c r="A6" s="186">
        <v>1</v>
      </c>
      <c r="B6" s="684" t="s">
        <v>63</v>
      </c>
      <c r="C6" s="685"/>
      <c r="D6" s="187" t="str">
        <f>IF(ISBLANK('Start Here'!B13),"",IF('Start Here'!$B$13="Other",'Start Here'!$B$44*'Reference Tables'!$B$239,VLOOKUP('Start Here'!$B$13,'Reference Tables'!$A$69:$E$213,3,FALSE)))</f>
        <v/>
      </c>
      <c r="E6" s="188"/>
      <c r="F6" s="187" t="str">
        <f>IF(ISBLANK('Start Here'!B13),"",IF('Start Here'!$B$13="Other",'Start Here'!$B$45*'Reference Tables'!$B$241,VLOOKUP('Start Here'!$B$13,'Reference Tables'!$A$69:$E$213,4,FALSE)))</f>
        <v/>
      </c>
      <c r="G6" s="188"/>
      <c r="H6" s="187" t="str">
        <f>IF(ISBLANK('Start Here'!B13),"",IF('Start Here'!$B$13="Other",'Start Here'!$B$46*'Reference Tables'!$B$241,VLOOKUP('Start Here'!$B$13,'Reference Tables'!$A$69:$E$213,5,FALSE)))</f>
        <v/>
      </c>
      <c r="I6" s="189"/>
      <c r="J6" s="190"/>
    </row>
    <row r="7" spans="1:10" ht="30" customHeight="1" x14ac:dyDescent="0.25">
      <c r="A7" s="191">
        <v>2</v>
      </c>
      <c r="B7" s="686" t="s">
        <v>525</v>
      </c>
      <c r="C7" s="686"/>
      <c r="D7" s="192" t="e">
        <f>(IF(ISBLANK('Start Here'!B5),"",IF('Start Here'!F6='Reference Tables'!A253,'Reference Tables'!H278,'Reference Tables'!H277)))*'Reference Tables'!$B$239</f>
        <v>#VALUE!</v>
      </c>
      <c r="E7" s="192">
        <f>1585</f>
        <v>1585</v>
      </c>
      <c r="F7" s="192" t="e">
        <f>IF(D7="","",D7*E7)</f>
        <v>#VALUE!</v>
      </c>
      <c r="G7" s="193">
        <v>350</v>
      </c>
      <c r="H7" s="192" t="e">
        <f>IF(D7="","",D7*G7)</f>
        <v>#VALUE!</v>
      </c>
      <c r="I7" s="189"/>
      <c r="J7" s="190"/>
    </row>
    <row r="8" spans="1:10" ht="30" customHeight="1" x14ac:dyDescent="0.25">
      <c r="A8" s="191">
        <v>3</v>
      </c>
      <c r="B8" s="686" t="s">
        <v>526</v>
      </c>
      <c r="C8" s="686"/>
      <c r="D8" s="192" t="e">
        <f>(IF(ISBLANK('Start Here'!B6),"",IF('Start Here'!F5='Reference Tables'!A254,'Reference Tables'!H277,'Reference Tables'!H278)))*'Reference Tables'!$B$239</f>
        <v>#VALUE!</v>
      </c>
      <c r="E8" s="192">
        <v>1585</v>
      </c>
      <c r="F8" s="192" t="e">
        <f>IF(D8="","",D8*E8)</f>
        <v>#VALUE!</v>
      </c>
      <c r="G8" s="193">
        <v>-325</v>
      </c>
      <c r="H8" s="192" t="e">
        <f>IF(D8="","",D8*G8)</f>
        <v>#VALUE!</v>
      </c>
      <c r="I8" s="189"/>
      <c r="J8" s="190"/>
    </row>
    <row r="9" spans="1:10" ht="30" customHeight="1" x14ac:dyDescent="0.25">
      <c r="A9" s="191">
        <v>4</v>
      </c>
      <c r="B9" s="683" t="s">
        <v>527</v>
      </c>
      <c r="C9" s="686"/>
      <c r="D9" s="192">
        <f>(IF('Start Here'!$F$7='Reference Tables'!A255,'Reference Tables'!$H$279,IF('Start Here'!$F$8='Reference Tables'!A255,'Reference Tables'!$H$280,IF('Start Here'!$F$9='Reference Tables'!A255,'Reference Tables'!$H$281,""))))*'Reference Tables'!$B$239</f>
        <v>0</v>
      </c>
      <c r="E9" s="192">
        <v>2741</v>
      </c>
      <c r="F9" s="192">
        <f>IF(D9="","",D9*E9)</f>
        <v>0</v>
      </c>
      <c r="G9" s="193">
        <v>0</v>
      </c>
      <c r="H9" s="192">
        <f>IF(D9="","",D9*G9)</f>
        <v>0</v>
      </c>
      <c r="I9" s="189"/>
      <c r="J9" s="190"/>
    </row>
    <row r="10" spans="1:10" ht="30" customHeight="1" x14ac:dyDescent="0.25">
      <c r="A10" s="191">
        <v>5</v>
      </c>
      <c r="B10" s="683" t="s">
        <v>528</v>
      </c>
      <c r="C10" s="686"/>
      <c r="D10" s="192">
        <f>(IF('Start Here'!$F$7='Reference Tables'!A256,'Reference Tables'!$H$279,IF('Start Here'!$F$8='Reference Tables'!A256,'Reference Tables'!$H$280,IF('Start Here'!$F$9='Reference Tables'!A256,'Reference Tables'!$H$281,""))))*'Reference Tables'!$B$239</f>
        <v>0</v>
      </c>
      <c r="E10" s="192">
        <v>3200</v>
      </c>
      <c r="F10" s="192">
        <f>IF(D10="","",D10*E10)</f>
        <v>0</v>
      </c>
      <c r="G10" s="193">
        <v>430</v>
      </c>
      <c r="H10" s="192">
        <f>IF(D10="","",D10*G10)</f>
        <v>0</v>
      </c>
      <c r="I10" s="189"/>
      <c r="J10" s="190"/>
    </row>
    <row r="11" spans="1:10" ht="30" customHeight="1" x14ac:dyDescent="0.25">
      <c r="A11" s="191">
        <v>6</v>
      </c>
      <c r="B11" s="683" t="s">
        <v>114</v>
      </c>
      <c r="C11" s="686"/>
      <c r="D11" s="192">
        <f>'Start Here'!B74*'Reference Tables'!$B$239</f>
        <v>68.038799999999995</v>
      </c>
      <c r="E11" s="192">
        <v>2437</v>
      </c>
      <c r="F11" s="192" t="str">
        <f>IF(I3="NO","",D11*E11)</f>
        <v/>
      </c>
      <c r="G11" s="193">
        <v>1195</v>
      </c>
      <c r="H11" s="192" t="str">
        <f>IF(I3="NO","",D11*G11)</f>
        <v/>
      </c>
      <c r="I11" s="189"/>
      <c r="J11" s="190"/>
    </row>
    <row r="12" spans="1:10" ht="30" customHeight="1" x14ac:dyDescent="0.25">
      <c r="A12" s="191">
        <v>7</v>
      </c>
      <c r="B12" s="683" t="s">
        <v>529</v>
      </c>
      <c r="C12" s="686"/>
      <c r="D12" s="192">
        <f>(IF('Start Here'!$F$7='Reference Tables'!A257,'Reference Tables'!$H$279,IF('Start Here'!$F$8='Reference Tables'!A257,'Reference Tables'!$H$280,IF('Start Here'!$F$9='Reference Tables'!A257,'Reference Tables'!$H$281,""))))*'Reference Tables'!$B$239</f>
        <v>0</v>
      </c>
      <c r="E12" s="192">
        <v>3200</v>
      </c>
      <c r="F12" s="192">
        <f>IF(D12="","",D12*E12)</f>
        <v>0</v>
      </c>
      <c r="G12" s="193">
        <v>-430</v>
      </c>
      <c r="H12" s="192">
        <f>IF(D12="","",D12*G12)</f>
        <v>0</v>
      </c>
      <c r="I12" s="189"/>
      <c r="J12" s="190"/>
    </row>
    <row r="13" spans="1:10" ht="30" customHeight="1" x14ac:dyDescent="0.25">
      <c r="A13" s="191">
        <v>8</v>
      </c>
      <c r="B13" s="683"/>
      <c r="C13" s="686"/>
      <c r="D13" s="169"/>
      <c r="E13" s="192"/>
      <c r="F13" s="192"/>
      <c r="G13" s="193"/>
      <c r="H13" s="192"/>
      <c r="I13" s="189"/>
      <c r="J13" s="190"/>
    </row>
    <row r="14" spans="1:10" ht="30" customHeight="1" x14ac:dyDescent="0.25">
      <c r="A14" s="191">
        <v>9</v>
      </c>
      <c r="B14" s="683"/>
      <c r="C14" s="686"/>
      <c r="D14" s="169"/>
      <c r="E14" s="192"/>
      <c r="F14" s="192"/>
      <c r="G14" s="193"/>
      <c r="H14" s="192" t="str">
        <f>IF(D14="","",D14*G14)</f>
        <v/>
      </c>
      <c r="I14" s="189"/>
      <c r="J14" s="190"/>
    </row>
    <row r="15" spans="1:10" ht="30" customHeight="1" x14ac:dyDescent="0.25">
      <c r="A15" s="191">
        <v>10</v>
      </c>
      <c r="B15" s="683" t="s">
        <v>64</v>
      </c>
      <c r="C15" s="683"/>
      <c r="D15" s="192">
        <f>IF(ISBLANK('Start Here'!B62),"",'Start Here'!B62*'Reference Tables'!$B$239)</f>
        <v>13.607759999999999</v>
      </c>
      <c r="E15" s="192">
        <f>IF(ISBLANK('Start Here'!B62),"",'Start Here'!B63*'Reference Tables'!$B$240)</f>
        <v>1584.9599999999998</v>
      </c>
      <c r="F15" s="192">
        <f>IF(ISBLANK('Start Here'!B62),"",D15*E15)</f>
        <v>21567.755289599994</v>
      </c>
      <c r="G15" s="193">
        <f>IF(ISBLANK('Start Here'!B62),"",'Start Here'!B64*'Reference Tables'!$B$240)</f>
        <v>0</v>
      </c>
      <c r="H15" s="192">
        <f>IF(ISBLANK('Start Here'!B62),"",D15*G15)</f>
        <v>0</v>
      </c>
      <c r="I15" s="189"/>
      <c r="J15" s="190"/>
    </row>
    <row r="16" spans="1:10" ht="30" customHeight="1" x14ac:dyDescent="0.25">
      <c r="A16" s="191">
        <v>11</v>
      </c>
      <c r="B16" s="686" t="s">
        <v>65</v>
      </c>
      <c r="C16" s="686"/>
      <c r="D16" s="192">
        <f>IF(ISBLANK('Start Here'!B65),"",'Start Here'!B65*'Reference Tables'!$B$239)</f>
        <v>4.53592</v>
      </c>
      <c r="E16" s="192">
        <f>IF(ISBLANK('Start Here'!B65),"",'Start Here'!B66*'Reference Tables'!$B$240)</f>
        <v>2463.7999999999997</v>
      </c>
      <c r="F16" s="192">
        <f>IF(ISBLANK('Start Here'!B65),"",D16*E16)</f>
        <v>11175.599695999999</v>
      </c>
      <c r="G16" s="193">
        <f>IF(ISBLANK('Start Here'!B65),"",'Start Here'!B67*'Reference Tables'!$B$240)</f>
        <v>0</v>
      </c>
      <c r="H16" s="192">
        <f>IF(ISBLANK('Start Here'!B65),"",D16*G16)</f>
        <v>0</v>
      </c>
      <c r="I16" s="189"/>
      <c r="J16" s="190"/>
    </row>
    <row r="17" spans="1:10" ht="47.25" customHeight="1" x14ac:dyDescent="0.25">
      <c r="A17" s="191">
        <v>12</v>
      </c>
      <c r="B17" s="683" t="s">
        <v>66</v>
      </c>
      <c r="C17" s="683"/>
      <c r="D17" s="192" t="str">
        <f>IF(SUM(D18:D20)=0,"",SUM(D18:D20))</f>
        <v/>
      </c>
      <c r="E17" s="194"/>
      <c r="F17" s="192" t="str">
        <f>IF(SUM(F18:F20)=0,"",SUM(F18:F20))</f>
        <v/>
      </c>
      <c r="G17" s="195"/>
      <c r="H17" s="192" t="str">
        <f>IF(SUM(H18:H20)=0,"",SUM(H18:H20))</f>
        <v/>
      </c>
      <c r="I17" s="189"/>
      <c r="J17" s="190"/>
    </row>
    <row r="18" spans="1:10" x14ac:dyDescent="0.25">
      <c r="A18" s="196"/>
      <c r="B18" s="693" t="s">
        <v>67</v>
      </c>
      <c r="C18" s="693"/>
      <c r="D18" s="192">
        <f>IF(ISBLANK('Start Here'!B69),"",'Start Here'!B69*'Reference Tables'!$B$239)</f>
        <v>0</v>
      </c>
      <c r="E18" s="192">
        <v>4880</v>
      </c>
      <c r="F18" s="192">
        <f>IF(D18="","",D18*E18)</f>
        <v>0</v>
      </c>
      <c r="G18" s="193">
        <v>0</v>
      </c>
      <c r="H18" s="192">
        <f>IF(D18="","",D18*G18)</f>
        <v>0</v>
      </c>
      <c r="I18" s="189"/>
      <c r="J18" s="190"/>
    </row>
    <row r="19" spans="1:10" x14ac:dyDescent="0.25">
      <c r="A19" s="196"/>
      <c r="B19" s="693" t="s">
        <v>68</v>
      </c>
      <c r="C19" s="693"/>
      <c r="D19" s="192">
        <f>IF(ISBLANK('Start Here'!B70),"",'Start Here'!B70*'Reference Tables'!$B$239)</f>
        <v>0</v>
      </c>
      <c r="E19" s="192">
        <v>5240</v>
      </c>
      <c r="F19" s="192">
        <f>IF(D19="","",D19*E19)</f>
        <v>0</v>
      </c>
      <c r="G19" s="193">
        <v>0</v>
      </c>
      <c r="H19" s="192">
        <f>IF(D19="","",D19*G19)</f>
        <v>0</v>
      </c>
      <c r="I19" s="189"/>
      <c r="J19" s="190"/>
    </row>
    <row r="20" spans="1:10" x14ac:dyDescent="0.25">
      <c r="A20" s="196"/>
      <c r="B20" s="693" t="s">
        <v>69</v>
      </c>
      <c r="C20" s="693"/>
      <c r="D20" s="192">
        <f>IF(ISBLANK('Start Here'!B71),"",'Start Here'!B71*'Reference Tables'!$B$239)</f>
        <v>0</v>
      </c>
      <c r="E20" s="192">
        <v>5560</v>
      </c>
      <c r="F20" s="192">
        <f>IF(D20="","",D20*E20)</f>
        <v>0</v>
      </c>
      <c r="G20" s="193">
        <v>0</v>
      </c>
      <c r="H20" s="192">
        <f>IF(D20="","",D20*G20)</f>
        <v>0</v>
      </c>
      <c r="I20" s="189"/>
      <c r="J20" s="190"/>
    </row>
    <row r="21" spans="1:10" x14ac:dyDescent="0.25">
      <c r="A21" s="197">
        <v>18</v>
      </c>
      <c r="B21" s="198" t="s">
        <v>81</v>
      </c>
      <c r="C21" s="199" t="str">
        <f>IF(ISBLANK('Start Here'!B76),"ON/CLOSED",'Start Here'!B76)</f>
        <v>ON/CLOSED</v>
      </c>
      <c r="D21" s="200">
        <f>VLOOKUP($C$21,'Reference Tables'!A3:F5,2)</f>
        <v>0</v>
      </c>
      <c r="E21" s="192">
        <f>VLOOKUP($C$21,'Reference Tables'!A3:F5,3)</f>
        <v>0</v>
      </c>
      <c r="F21" s="192">
        <f>VLOOKUP($C$21,'Reference Tables'!A3:F5,4)</f>
        <v>0</v>
      </c>
      <c r="G21" s="193">
        <f>VLOOKUP($C$21,'Reference Tables'!A3:F5,5)</f>
        <v>0</v>
      </c>
      <c r="H21" s="192">
        <f>VLOOKUP($C$21,'Reference Tables'!A3:F5,6)</f>
        <v>0</v>
      </c>
      <c r="I21" s="201"/>
      <c r="J21" s="190"/>
    </row>
    <row r="22" spans="1:10" x14ac:dyDescent="0.25">
      <c r="A22" s="121">
        <v>19</v>
      </c>
      <c r="B22" s="685" t="s">
        <v>175</v>
      </c>
      <c r="C22" s="685"/>
      <c r="D22" s="192" t="str">
        <f>IF(J3="YES",'Start Here'!B75*'Reference Tables'!$B$239,"")</f>
        <v/>
      </c>
      <c r="E22" s="192">
        <v>3330</v>
      </c>
      <c r="F22" s="192" t="str">
        <f>IF(D22="","",D22*E22)</f>
        <v/>
      </c>
      <c r="G22" s="193">
        <v>0</v>
      </c>
      <c r="H22" s="192" t="str">
        <f>IF(D22="","",G22*D22)</f>
        <v/>
      </c>
      <c r="I22" s="201"/>
      <c r="J22" s="190"/>
    </row>
    <row r="23" spans="1:10" x14ac:dyDescent="0.25">
      <c r="A23" s="121">
        <v>20</v>
      </c>
      <c r="B23" s="686"/>
      <c r="C23" s="686"/>
      <c r="D23" s="192"/>
      <c r="E23" s="192"/>
      <c r="F23" s="192"/>
      <c r="G23" s="193"/>
      <c r="H23" s="192"/>
      <c r="I23" s="201"/>
      <c r="J23" s="190"/>
    </row>
    <row r="24" spans="1:10" x14ac:dyDescent="0.25">
      <c r="A24" s="121">
        <v>21</v>
      </c>
      <c r="B24" s="683" t="s">
        <v>70</v>
      </c>
      <c r="C24" s="683"/>
      <c r="D24" s="192" t="e">
        <f>SUM(D6:D10)+SUM(D12:D17)+D21</f>
        <v>#VALUE!</v>
      </c>
      <c r="E24" s="194"/>
      <c r="F24" s="192" t="e">
        <f>SUM(F6:F10)+SUM(F12:F17)+F21</f>
        <v>#VALUE!</v>
      </c>
      <c r="G24" s="195"/>
      <c r="H24" s="192" t="e">
        <f>SUM(H6:H10)+SUM(H12:H17)+H21</f>
        <v>#VALUE!</v>
      </c>
      <c r="I24" s="201"/>
      <c r="J24" s="190"/>
    </row>
    <row r="25" spans="1:10" x14ac:dyDescent="0.25">
      <c r="A25" s="121">
        <v>22</v>
      </c>
      <c r="B25" s="683" t="s">
        <v>90</v>
      </c>
      <c r="C25" s="683"/>
      <c r="D25" s="192">
        <f>('Start Here'!B56*'Reference Tables'!$B$239)-8</f>
        <v>422.91239999999999</v>
      </c>
      <c r="E25" s="195"/>
      <c r="F25" s="192">
        <f>$D25*IF($D25&lt;20,'NATOPS Tables'!C43,VLOOKUP(MIN(476,CEILING($D25,20)),'NATOPS Tables'!A43:D66,3,TRUE))</f>
        <v>1648089.6228</v>
      </c>
      <c r="G25" s="195"/>
      <c r="H25" s="192">
        <f>$D25*IF($D25&lt;20,'NATOPS Tables'!H43,VLOOKUP(MIN(476,CEILING($D25,20)),'NATOPS Tables'!F43:I66,3,TRUE))</f>
        <v>0</v>
      </c>
      <c r="I25" s="201"/>
      <c r="J25" s="190"/>
    </row>
    <row r="26" spans="1:10" ht="30" customHeight="1" x14ac:dyDescent="0.25">
      <c r="A26" s="121">
        <v>23</v>
      </c>
      <c r="B26" s="683" t="s">
        <v>72</v>
      </c>
      <c r="C26" s="683"/>
      <c r="D26" s="192" t="e">
        <f>SUM(D24:D25)</f>
        <v>#VALUE!</v>
      </c>
      <c r="E26" s="195"/>
      <c r="F26" s="192" t="e">
        <f>SUM(F24:F25)</f>
        <v>#VALUE!</v>
      </c>
      <c r="G26" s="195"/>
      <c r="H26" s="192" t="e">
        <f>SUM(H24:H25)</f>
        <v>#VALUE!</v>
      </c>
      <c r="I26" s="28" t="e">
        <f>F26/D26</f>
        <v>#VALUE!</v>
      </c>
      <c r="J26" s="29" t="e">
        <f>H26/D26</f>
        <v>#VALUE!</v>
      </c>
    </row>
    <row r="27" spans="1:10" ht="30" customHeight="1" x14ac:dyDescent="0.25">
      <c r="A27" s="121">
        <v>24</v>
      </c>
      <c r="B27" s="683" t="s">
        <v>91</v>
      </c>
      <c r="C27" s="683"/>
      <c r="D27" s="192">
        <f>('Start Here'!B57*'Reference Tables'!$B$239)-8</f>
        <v>14.679600000000001</v>
      </c>
      <c r="E27" s="195"/>
      <c r="F27" s="192">
        <f>$D27*IF($D27&lt;20,'NATOPS Tables'!C43,VLOOKUP(MIN(476,CEILING($D27,20)),'NATOPS Tables'!A43:D66,3,TRUE))</f>
        <v>48794.990400000002</v>
      </c>
      <c r="G27" s="195"/>
      <c r="H27" s="192">
        <f>$D27*IF($D27&lt;20,'NATOPS Tables'!H43,VLOOKUP(MIN(476,CEILING($D27,20)),'NATOPS Tables'!F43:I66,3,TRUE))</f>
        <v>-4844.268</v>
      </c>
      <c r="I27" s="202"/>
      <c r="J27" s="203"/>
    </row>
    <row r="28" spans="1:10" ht="30" customHeight="1" x14ac:dyDescent="0.25">
      <c r="A28" s="121">
        <v>25</v>
      </c>
      <c r="B28" s="683" t="s">
        <v>73</v>
      </c>
      <c r="C28" s="683"/>
      <c r="D28" s="192" t="e">
        <f>D24+D27</f>
        <v>#VALUE!</v>
      </c>
      <c r="E28" s="195"/>
      <c r="F28" s="192" t="e">
        <f>F27+F24</f>
        <v>#VALUE!</v>
      </c>
      <c r="G28" s="195"/>
      <c r="H28" s="192" t="e">
        <f>H27+H24</f>
        <v>#VALUE!</v>
      </c>
      <c r="I28" s="28" t="e">
        <f>F28/D28</f>
        <v>#VALUE!</v>
      </c>
      <c r="J28" s="29" t="e">
        <f>H28/D28</f>
        <v>#VALUE!</v>
      </c>
    </row>
    <row r="29" spans="1:10" ht="30" customHeight="1" thickBot="1" x14ac:dyDescent="0.3">
      <c r="A29" s="30">
        <v>26</v>
      </c>
      <c r="B29" s="682" t="s">
        <v>71</v>
      </c>
      <c r="C29" s="682"/>
      <c r="D29" s="170"/>
      <c r="E29" s="171"/>
      <c r="F29" s="171"/>
      <c r="G29" s="171"/>
      <c r="H29" s="170"/>
      <c r="I29" s="204"/>
      <c r="J29" s="205"/>
    </row>
    <row r="30" spans="1:10" ht="30" customHeight="1" x14ac:dyDescent="0.25">
      <c r="A30" s="121">
        <v>27</v>
      </c>
      <c r="B30" s="683" t="s">
        <v>210</v>
      </c>
      <c r="C30" s="683"/>
      <c r="D30" s="28" t="str">
        <f>IF(I3="NO","",('Start Here'!B58*'Reference Tables'!$B$239)-8)</f>
        <v/>
      </c>
      <c r="E30" s="38"/>
      <c r="F30" s="28" t="str">
        <f>IF(D31="","",$D30*IF($D30&lt;20,'NATOPS Tables'!C43,VLOOKUP(MIN(476,CEILING($D30,20)),'NATOPS Tables'!A43:D66,3,TRUE)))</f>
        <v/>
      </c>
      <c r="G30" s="38"/>
      <c r="H30" s="28" t="str">
        <f>IF(D31="","",$D30*IF($D30&lt;20,'NATOPS Tables'!H43,VLOOKUP(MIN(476,CEILING($D30,20)),'NATOPS Tables'!F43:I66,3,TRUE)))</f>
        <v/>
      </c>
      <c r="I30" s="202"/>
      <c r="J30" s="203"/>
    </row>
    <row r="31" spans="1:10" ht="36.950000000000003" customHeight="1" x14ac:dyDescent="0.25">
      <c r="A31" s="121">
        <v>28</v>
      </c>
      <c r="B31" s="683" t="s">
        <v>109</v>
      </c>
      <c r="C31" s="683"/>
      <c r="D31" s="28" t="str">
        <f>IF(I3="YES", D24-(IF(LEN(D9)=0,0,D9))+(IF(LEN(D10)=0,0,D10))+D11+D30, "")</f>
        <v/>
      </c>
      <c r="E31" s="38"/>
      <c r="F31" s="28" t="str">
        <f>IF(D31="","",F24-(IF(LEN(F9)=0,0,F9))+(IF(LEN(F10)=0,0,F10))+F11+F30)</f>
        <v/>
      </c>
      <c r="G31" s="38"/>
      <c r="H31" s="28" t="str">
        <f>IF(D31="","",H24-(IF(LEN(H9)=0,0,H9))+(IF(LEN(H10)=0,0,H10))+H11+H30)</f>
        <v/>
      </c>
      <c r="I31" s="28" t="str">
        <f>IF($I$3="YES", F31/D31, "")</f>
        <v/>
      </c>
      <c r="J31" s="29" t="str">
        <f>IF($I$3="YES", H31/D31, "")</f>
        <v/>
      </c>
    </row>
    <row r="32" spans="1:10" ht="36.950000000000003" customHeight="1" x14ac:dyDescent="0.25">
      <c r="A32" s="121">
        <v>27</v>
      </c>
      <c r="B32" s="683" t="s">
        <v>211</v>
      </c>
      <c r="C32" s="683"/>
      <c r="D32" s="28" t="str">
        <f>IF(J3="NO","",('Start Here'!B59*'Reference Tables'!$B$239)-8)</f>
        <v/>
      </c>
      <c r="E32" s="38"/>
      <c r="F32" s="28" t="str">
        <f>IF(D33="","",$D32*IF($D32&lt;20,'NATOPS Tables'!C43,VLOOKUP(MIN(476,CEILING($D32,20)),'NATOPS Tables'!A43:D66,3,TRUE)))</f>
        <v/>
      </c>
      <c r="G32" s="38"/>
      <c r="H32" s="28" t="str">
        <f>IF(D33="","",$D32*IF($D32&lt;20,'NATOPS Tables'!H43,VLOOKUP(MIN(476,CEILING($D32,20)),'NATOPS Tables'!F43:I66,3,TRUE)))</f>
        <v/>
      </c>
      <c r="I32" s="202"/>
      <c r="J32" s="203"/>
    </row>
    <row r="33" spans="1:10" ht="36.950000000000003" customHeight="1" thickBot="1" x14ac:dyDescent="0.3">
      <c r="A33" s="30">
        <v>28</v>
      </c>
      <c r="B33" s="682" t="s">
        <v>104</v>
      </c>
      <c r="C33" s="682"/>
      <c r="D33" s="44" t="str">
        <f>IF(J3="YES", D24+D22+D32-(IF(LEN(D9)=0,0,D9))+(IF(LEN(D10)=0,0,D10)), "")</f>
        <v/>
      </c>
      <c r="E33" s="151"/>
      <c r="F33" s="44" t="str">
        <f>IF(D33="","",F24+F22+F32-(IF(LEN(F9)=0,0,F9))+(IF(LEN(F10)=0,0,F10)))</f>
        <v/>
      </c>
      <c r="G33" s="151"/>
      <c r="H33" s="44" t="str">
        <f>IF(D33="","",H24+H22+H32-(IF(LEN(H9)=0,0,H9))+(IF(LEN(H10)=0,0,H10)))</f>
        <v/>
      </c>
      <c r="I33" s="44" t="str">
        <f>IF(J3="YES", F33/D33, "")</f>
        <v/>
      </c>
      <c r="J33" s="152" t="str">
        <f>IF(J3="YES", H33/D33, "")</f>
        <v/>
      </c>
    </row>
    <row r="34" spans="1:10" ht="36.950000000000003" customHeight="1" x14ac:dyDescent="0.25">
      <c r="A34" t="s">
        <v>271</v>
      </c>
    </row>
    <row r="35" spans="1:10" ht="36.950000000000003" customHeight="1" x14ac:dyDescent="0.25">
      <c r="A35" t="s">
        <v>272</v>
      </c>
    </row>
    <row r="36" spans="1:10" x14ac:dyDescent="0.25">
      <c r="A36" t="s">
        <v>307</v>
      </c>
    </row>
    <row r="37" spans="1:10" x14ac:dyDescent="0.25">
      <c r="A37" t="s">
        <v>273</v>
      </c>
    </row>
    <row r="38" spans="1:10" x14ac:dyDescent="0.25">
      <c r="A38" t="s">
        <v>366</v>
      </c>
    </row>
    <row r="39" spans="1:10" x14ac:dyDescent="0.25">
      <c r="A39" t="s">
        <v>274</v>
      </c>
    </row>
    <row r="40" spans="1:10" x14ac:dyDescent="0.25">
      <c r="A40" t="s">
        <v>275</v>
      </c>
    </row>
  </sheetData>
  <mergeCells count="32">
    <mergeCell ref="C2:E2"/>
    <mergeCell ref="C3:E3"/>
    <mergeCell ref="A4:A5"/>
    <mergeCell ref="B22:C22"/>
    <mergeCell ref="B18:C18"/>
    <mergeCell ref="B19:C19"/>
    <mergeCell ref="B20:C20"/>
    <mergeCell ref="B15:C15"/>
    <mergeCell ref="B16:C16"/>
    <mergeCell ref="B17:C17"/>
    <mergeCell ref="B11:C11"/>
    <mergeCell ref="B24:C24"/>
    <mergeCell ref="B25:C25"/>
    <mergeCell ref="B26:C26"/>
    <mergeCell ref="B27:C27"/>
    <mergeCell ref="B4:C5"/>
    <mergeCell ref="A1:J1"/>
    <mergeCell ref="B33:C33"/>
    <mergeCell ref="B32:C32"/>
    <mergeCell ref="B30:C30"/>
    <mergeCell ref="B31:C31"/>
    <mergeCell ref="B6:C6"/>
    <mergeCell ref="B7:C7"/>
    <mergeCell ref="B8:C8"/>
    <mergeCell ref="B9:C9"/>
    <mergeCell ref="B10:C10"/>
    <mergeCell ref="B12:C12"/>
    <mergeCell ref="B13:C13"/>
    <mergeCell ref="B14:C14"/>
    <mergeCell ref="B28:C28"/>
    <mergeCell ref="B29:C29"/>
    <mergeCell ref="B23:C23"/>
  </mergeCells>
  <conditionalFormatting sqref="B3">
    <cfRule type="expression" dxfId="18" priority="3">
      <formula>$B$3=""</formula>
    </cfRule>
  </conditionalFormatting>
  <conditionalFormatting sqref="B11:E11 G11">
    <cfRule type="expression" dxfId="17" priority="13">
      <formula>$I$3="NO"</formula>
    </cfRule>
  </conditionalFormatting>
  <conditionalFormatting sqref="B22:H22">
    <cfRule type="expression" dxfId="16" priority="9">
      <formula>$J$3="NO"</formula>
    </cfRule>
  </conditionalFormatting>
  <conditionalFormatting sqref="B30:H31">
    <cfRule type="expression" dxfId="15" priority="12">
      <formula>$I$3="NO"</formula>
    </cfRule>
  </conditionalFormatting>
  <conditionalFormatting sqref="B32:J33">
    <cfRule type="expression" dxfId="14" priority="10">
      <formula>$J$3="NO"</formula>
    </cfRule>
  </conditionalFormatting>
  <conditionalFormatting sqref="C3:E3">
    <cfRule type="expression" dxfId="13" priority="2">
      <formula>$C$3=""</formula>
    </cfRule>
  </conditionalFormatting>
  <conditionalFormatting sqref="D17:D18">
    <cfRule type="cellIs" dxfId="12" priority="8" operator="between">
      <formula>150</formula>
      <formula>9999</formula>
    </cfRule>
  </conditionalFormatting>
  <conditionalFormatting sqref="D19">
    <cfRule type="cellIs" dxfId="11" priority="7" operator="between">
      <formula>140</formula>
      <formula>9999</formula>
    </cfRule>
  </conditionalFormatting>
  <conditionalFormatting sqref="D20">
    <cfRule type="cellIs" dxfId="10" priority="6" operator="between">
      <formula>132</formula>
      <formula>9999</formula>
    </cfRule>
  </conditionalFormatting>
  <conditionalFormatting sqref="G3">
    <cfRule type="expression" dxfId="9" priority="1">
      <formula>$G$3=""</formula>
    </cfRule>
  </conditionalFormatting>
  <conditionalFormatting sqref="I31:J31">
    <cfRule type="expression" dxfId="8" priority="11">
      <formula>$I$3="NO"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200-000000000000}">
          <x14:formula1>
            <xm:f>'Reference Tables'!$A$3:$A$5</xm:f>
          </x14:formula1>
          <xm:sqref>C21</xm:sqref>
        </x14:dataValidation>
        <x14:dataValidation type="list" allowBlank="1" showInputMessage="1" showErrorMessage="1" xr:uid="{00000000-0002-0000-0200-000001000000}">
          <x14:formula1>
            <xm:f>'Reference Tables'!$A$64:$A$65</xm:f>
          </x14:formula1>
          <xm:sqref>I3:J3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Y9"/>
  <sheetViews>
    <sheetView topLeftCell="A19" workbookViewId="0">
      <selection activeCell="J4" sqref="J4"/>
    </sheetView>
  </sheetViews>
  <sheetFormatPr defaultColWidth="8.85546875" defaultRowHeight="15" x14ac:dyDescent="0.25"/>
  <cols>
    <col min="3" max="3" width="12.42578125" customWidth="1"/>
  </cols>
  <sheetData>
    <row r="1" spans="1:25" x14ac:dyDescent="0.25">
      <c r="A1" s="141" t="s">
        <v>566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</row>
    <row r="3" spans="1:25" x14ac:dyDescent="0.25">
      <c r="A3" s="142" t="s">
        <v>310</v>
      </c>
      <c r="B3" s="142"/>
      <c r="C3" s="694" t="s">
        <v>565</v>
      </c>
      <c r="D3" s="694"/>
      <c r="E3" s="228" t="s">
        <v>313</v>
      </c>
      <c r="F3" s="228" t="s">
        <v>312</v>
      </c>
      <c r="G3" s="228" t="s">
        <v>323</v>
      </c>
      <c r="H3" s="228" t="s">
        <v>324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</row>
    <row r="4" spans="1:25" x14ac:dyDescent="0.25">
      <c r="A4" s="237">
        <f>'Start Here'!B26</f>
        <v>0</v>
      </c>
      <c r="B4" s="142"/>
      <c r="C4" s="143" t="s">
        <v>224</v>
      </c>
      <c r="D4" s="237" t="e">
        <f>'Kneeboard Cards'!C9*'Reference Tables'!$E$239</f>
        <v>#VALUE!</v>
      </c>
      <c r="E4" s="231">
        <f>'Perf Tables'!F67</f>
        <v>108.5</v>
      </c>
      <c r="F4" s="231">
        <f>'Perf Tables'!F68</f>
        <v>100</v>
      </c>
      <c r="G4" s="230" t="e">
        <f>'Perf Tables'!L66</f>
        <v>#VALUE!</v>
      </c>
      <c r="H4" s="230" t="e">
        <f>'Perf Tables'!L65</f>
        <v>#VALUE!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</row>
    <row r="5" spans="1:25" x14ac:dyDescent="0.25">
      <c r="A5" s="142" t="s">
        <v>311</v>
      </c>
      <c r="B5" s="142"/>
      <c r="C5" s="143" t="s">
        <v>249</v>
      </c>
      <c r="D5" s="237" t="e">
        <f>'Kneeboard Cards'!C11*'Reference Tables'!$E$239</f>
        <v>#VALUE!</v>
      </c>
      <c r="E5" s="231">
        <f>'Perf Tables'!F67</f>
        <v>108.5</v>
      </c>
      <c r="F5" s="231">
        <f>'Perf Tables'!F68</f>
        <v>100</v>
      </c>
      <c r="G5" s="230" t="e">
        <f>'Perf Tables'!L70</f>
        <v>#VALUE!</v>
      </c>
      <c r="H5" s="230" t="e">
        <f>'Perf Tables'!L69</f>
        <v>#VALUE!</v>
      </c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</row>
    <row r="6" spans="1:25" x14ac:dyDescent="0.25">
      <c r="A6" s="237">
        <f>'Start Here'!B32</f>
        <v>0</v>
      </c>
      <c r="B6" s="142"/>
      <c r="C6" s="143" t="s">
        <v>322</v>
      </c>
      <c r="D6" s="237" t="e">
        <f>'Kneeboard Cards'!C15*'Reference Tables'!$E$239</f>
        <v>#VALUE!</v>
      </c>
      <c r="E6" s="231">
        <f>'Perf Tables'!F67</f>
        <v>108.5</v>
      </c>
      <c r="F6" s="231">
        <f>'Perf Tables'!F68</f>
        <v>100</v>
      </c>
      <c r="G6" s="230" t="e">
        <f>'Perf Tables'!L73</f>
        <v>#VALUE!</v>
      </c>
      <c r="H6" s="305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</row>
    <row r="7" spans="1:25" x14ac:dyDescent="0.25">
      <c r="A7" s="142"/>
      <c r="B7" s="142"/>
      <c r="C7" s="143" t="s">
        <v>321</v>
      </c>
      <c r="D7" s="237" t="e">
        <f>'Kneeboard Cards'!C18*'Reference Tables'!$E$239</f>
        <v>#VALUE!</v>
      </c>
      <c r="E7" s="231">
        <f>'Perf Tables'!F67</f>
        <v>108.5</v>
      </c>
      <c r="F7" s="231">
        <f>'Perf Tables'!F68</f>
        <v>100</v>
      </c>
      <c r="G7" s="230" t="e">
        <f>'Perf Tables'!L76</f>
        <v>#VALUE!</v>
      </c>
      <c r="H7" s="305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</row>
    <row r="8" spans="1:25" x14ac:dyDescent="0.2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</row>
    <row r="9" spans="1:25" x14ac:dyDescent="0.25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B1:V44"/>
  <sheetViews>
    <sheetView zoomScale="130" zoomScaleNormal="130" workbookViewId="0">
      <selection activeCell="R8" sqref="R8:V15"/>
    </sheetView>
  </sheetViews>
  <sheetFormatPr defaultColWidth="8.85546875" defaultRowHeight="15" x14ac:dyDescent="0.25"/>
  <cols>
    <col min="1" max="1" width="1.42578125" customWidth="1"/>
    <col min="2" max="2" width="11" customWidth="1"/>
    <col min="3" max="3" width="10.140625" bestFit="1" customWidth="1"/>
    <col min="12" max="12" width="2.85546875" customWidth="1"/>
    <col min="13" max="13" width="11.85546875" customWidth="1"/>
  </cols>
  <sheetData>
    <row r="1" spans="2:22" ht="6.75" customHeight="1" thickBot="1" x14ac:dyDescent="0.3"/>
    <row r="2" spans="2:22" ht="67.5" customHeight="1" x14ac:dyDescent="0.25">
      <c r="B2" s="695" t="s">
        <v>620</v>
      </c>
      <c r="C2" s="696"/>
      <c r="D2" s="696"/>
      <c r="E2" s="696"/>
      <c r="F2" s="696"/>
      <c r="G2" s="696"/>
      <c r="H2" s="696"/>
      <c r="I2" s="696"/>
      <c r="J2" s="696"/>
      <c r="K2" s="697"/>
      <c r="M2" s="695" t="s">
        <v>620</v>
      </c>
      <c r="N2" s="696"/>
      <c r="O2" s="696"/>
      <c r="P2" s="696"/>
      <c r="Q2" s="696"/>
      <c r="R2" s="696"/>
      <c r="S2" s="696"/>
      <c r="T2" s="696"/>
      <c r="U2" s="696"/>
      <c r="V2" s="697"/>
    </row>
    <row r="3" spans="2:22" ht="23.25" customHeight="1" x14ac:dyDescent="0.25">
      <c r="B3" s="698" t="s">
        <v>388</v>
      </c>
      <c r="C3" s="699"/>
      <c r="D3" s="699"/>
      <c r="E3" s="699" t="s">
        <v>192</v>
      </c>
      <c r="F3" s="699"/>
      <c r="G3" s="699"/>
      <c r="H3" s="699"/>
      <c r="I3" s="699" t="s">
        <v>389</v>
      </c>
      <c r="J3" s="699"/>
      <c r="K3" s="700"/>
      <c r="M3" s="698" t="s">
        <v>388</v>
      </c>
      <c r="N3" s="699"/>
      <c r="O3" s="699"/>
      <c r="P3" s="699" t="s">
        <v>192</v>
      </c>
      <c r="Q3" s="699"/>
      <c r="R3" s="699"/>
      <c r="S3" s="699"/>
      <c r="T3" s="699" t="s">
        <v>389</v>
      </c>
      <c r="U3" s="699"/>
      <c r="V3" s="700"/>
    </row>
    <row r="4" spans="2:22" x14ac:dyDescent="0.25">
      <c r="B4" s="265" t="s">
        <v>390</v>
      </c>
      <c r="C4" s="266" t="s">
        <v>391</v>
      </c>
      <c r="D4" s="701" t="s">
        <v>392</v>
      </c>
      <c r="E4" s="701"/>
      <c r="F4" s="701" t="s">
        <v>393</v>
      </c>
      <c r="G4" s="701"/>
      <c r="H4" s="701"/>
      <c r="I4" s="701" t="s">
        <v>394</v>
      </c>
      <c r="J4" s="701"/>
      <c r="K4" s="702"/>
      <c r="M4" s="265" t="s">
        <v>390</v>
      </c>
      <c r="N4" s="266" t="s">
        <v>391</v>
      </c>
      <c r="O4" s="701" t="s">
        <v>392</v>
      </c>
      <c r="P4" s="701"/>
      <c r="Q4" s="701" t="s">
        <v>393</v>
      </c>
      <c r="R4" s="701"/>
      <c r="S4" s="701"/>
      <c r="T4" s="701" t="s">
        <v>394</v>
      </c>
      <c r="U4" s="701"/>
      <c r="V4" s="702"/>
    </row>
    <row r="5" spans="2:22" ht="24.95" customHeight="1" x14ac:dyDescent="0.25">
      <c r="B5" s="269"/>
      <c r="C5" s="270"/>
      <c r="D5" s="704"/>
      <c r="E5" s="704"/>
      <c r="F5" s="704"/>
      <c r="G5" s="704"/>
      <c r="H5" s="704"/>
      <c r="I5" s="704"/>
      <c r="J5" s="704"/>
      <c r="K5" s="705"/>
      <c r="M5" s="269"/>
      <c r="N5" s="270"/>
      <c r="O5" s="704"/>
      <c r="P5" s="704"/>
      <c r="Q5" s="704"/>
      <c r="R5" s="704"/>
      <c r="S5" s="704"/>
      <c r="T5" s="704"/>
      <c r="U5" s="704"/>
      <c r="V5" s="705"/>
    </row>
    <row r="6" spans="2:22" ht="24.95" customHeight="1" x14ac:dyDescent="0.25">
      <c r="B6" s="269"/>
      <c r="C6" s="270"/>
      <c r="D6" s="704"/>
      <c r="E6" s="704"/>
      <c r="F6" s="704"/>
      <c r="G6" s="704"/>
      <c r="H6" s="704"/>
      <c r="I6" s="704"/>
      <c r="J6" s="704"/>
      <c r="K6" s="705"/>
      <c r="M6" s="269"/>
      <c r="N6" s="270"/>
      <c r="O6" s="704"/>
      <c r="P6" s="704"/>
      <c r="Q6" s="704"/>
      <c r="R6" s="704"/>
      <c r="S6" s="704"/>
      <c r="T6" s="704"/>
      <c r="U6" s="704"/>
      <c r="V6" s="705"/>
    </row>
    <row r="7" spans="2:22" ht="21.75" customHeight="1" x14ac:dyDescent="0.25">
      <c r="B7" s="272" t="s">
        <v>123</v>
      </c>
      <c r="C7" s="703" t="s">
        <v>395</v>
      </c>
      <c r="D7" s="703"/>
      <c r="E7" s="273" t="s">
        <v>396</v>
      </c>
      <c r="F7" s="273" t="s">
        <v>426</v>
      </c>
      <c r="G7" s="703" t="s">
        <v>276</v>
      </c>
      <c r="H7" s="703"/>
      <c r="I7" s="703"/>
      <c r="J7" s="703"/>
      <c r="K7" s="706"/>
      <c r="M7" s="272" t="s">
        <v>123</v>
      </c>
      <c r="N7" s="703" t="s">
        <v>395</v>
      </c>
      <c r="O7" s="703"/>
      <c r="P7" s="273" t="s">
        <v>396</v>
      </c>
      <c r="Q7" s="273" t="s">
        <v>426</v>
      </c>
      <c r="R7" s="703" t="s">
        <v>276</v>
      </c>
      <c r="S7" s="703"/>
      <c r="T7" s="703"/>
      <c r="U7" s="703"/>
      <c r="V7" s="706"/>
    </row>
    <row r="8" spans="2:22" ht="18" customHeight="1" x14ac:dyDescent="0.25">
      <c r="B8" s="269">
        <v>1930</v>
      </c>
      <c r="C8" s="716" t="s">
        <v>422</v>
      </c>
      <c r="D8" s="719"/>
      <c r="E8" s="270">
        <v>121.95</v>
      </c>
      <c r="F8" s="270">
        <v>7</v>
      </c>
      <c r="G8" s="707" t="s">
        <v>622</v>
      </c>
      <c r="H8" s="708"/>
      <c r="I8" s="708"/>
      <c r="J8" s="708"/>
      <c r="K8" s="709"/>
      <c r="M8" s="269">
        <v>1930</v>
      </c>
      <c r="N8" s="716" t="s">
        <v>422</v>
      </c>
      <c r="O8" s="719"/>
      <c r="P8" s="270">
        <v>121.95</v>
      </c>
      <c r="Q8" s="270">
        <v>7</v>
      </c>
      <c r="R8" s="707" t="s">
        <v>622</v>
      </c>
      <c r="S8" s="708"/>
      <c r="T8" s="708"/>
      <c r="U8" s="708"/>
      <c r="V8" s="709"/>
    </row>
    <row r="9" spans="2:22" ht="18" customHeight="1" x14ac:dyDescent="0.25">
      <c r="B9" s="269">
        <v>1950</v>
      </c>
      <c r="C9" s="716" t="s">
        <v>423</v>
      </c>
      <c r="D9" s="719"/>
      <c r="E9" s="270">
        <v>121.95</v>
      </c>
      <c r="F9" s="270" t="s">
        <v>653</v>
      </c>
      <c r="G9" s="710"/>
      <c r="H9" s="711"/>
      <c r="I9" s="711"/>
      <c r="J9" s="711"/>
      <c r="K9" s="712"/>
      <c r="M9" s="269">
        <v>1950</v>
      </c>
      <c r="N9" s="716" t="s">
        <v>423</v>
      </c>
      <c r="O9" s="719"/>
      <c r="P9" s="270">
        <v>121.95</v>
      </c>
      <c r="Q9" s="270" t="s">
        <v>653</v>
      </c>
      <c r="R9" s="710"/>
      <c r="S9" s="711"/>
      <c r="T9" s="711"/>
      <c r="U9" s="711"/>
      <c r="V9" s="712"/>
    </row>
    <row r="10" spans="2:22" ht="18" customHeight="1" x14ac:dyDescent="0.25">
      <c r="B10" s="269">
        <v>1955</v>
      </c>
      <c r="C10" s="716" t="s">
        <v>424</v>
      </c>
      <c r="D10" s="719"/>
      <c r="E10" s="270">
        <v>121.95</v>
      </c>
      <c r="F10" s="270">
        <v>3</v>
      </c>
      <c r="G10" s="710"/>
      <c r="H10" s="711"/>
      <c r="I10" s="711"/>
      <c r="J10" s="711"/>
      <c r="K10" s="712"/>
      <c r="M10" s="269">
        <v>1955</v>
      </c>
      <c r="N10" s="716" t="s">
        <v>424</v>
      </c>
      <c r="O10" s="719"/>
      <c r="P10" s="270">
        <v>121.95</v>
      </c>
      <c r="Q10" s="270">
        <v>3</v>
      </c>
      <c r="R10" s="710"/>
      <c r="S10" s="711"/>
      <c r="T10" s="711"/>
      <c r="U10" s="711"/>
      <c r="V10" s="712"/>
    </row>
    <row r="11" spans="2:22" ht="18" customHeight="1" x14ac:dyDescent="0.25">
      <c r="B11" s="269">
        <v>2000</v>
      </c>
      <c r="C11" s="716" t="s">
        <v>409</v>
      </c>
      <c r="D11" s="719"/>
      <c r="E11" s="270">
        <v>121.95</v>
      </c>
      <c r="F11" s="270">
        <v>4</v>
      </c>
      <c r="G11" s="710"/>
      <c r="H11" s="711"/>
      <c r="I11" s="711"/>
      <c r="J11" s="711"/>
      <c r="K11" s="712"/>
      <c r="M11" s="269">
        <v>2000</v>
      </c>
      <c r="N11" s="716" t="s">
        <v>409</v>
      </c>
      <c r="O11" s="719"/>
      <c r="P11" s="270">
        <v>121.95</v>
      </c>
      <c r="Q11" s="270">
        <v>4</v>
      </c>
      <c r="R11" s="710"/>
      <c r="S11" s="711"/>
      <c r="T11" s="711"/>
      <c r="U11" s="711"/>
      <c r="V11" s="712"/>
    </row>
    <row r="12" spans="2:22" ht="18" customHeight="1" x14ac:dyDescent="0.25">
      <c r="B12" s="269" t="s">
        <v>433</v>
      </c>
      <c r="C12" s="716" t="s">
        <v>425</v>
      </c>
      <c r="D12" s="719"/>
      <c r="E12" s="270">
        <v>121.95</v>
      </c>
      <c r="F12" s="270"/>
      <c r="G12" s="710"/>
      <c r="H12" s="711"/>
      <c r="I12" s="711"/>
      <c r="J12" s="711"/>
      <c r="K12" s="712"/>
      <c r="M12" s="269" t="s">
        <v>433</v>
      </c>
      <c r="N12" s="716" t="s">
        <v>425</v>
      </c>
      <c r="O12" s="719"/>
      <c r="P12" s="270">
        <v>121.95</v>
      </c>
      <c r="Q12" s="270"/>
      <c r="R12" s="710"/>
      <c r="S12" s="711"/>
      <c r="T12" s="711"/>
      <c r="U12" s="711"/>
      <c r="V12" s="712"/>
    </row>
    <row r="13" spans="2:22" ht="18" customHeight="1" x14ac:dyDescent="0.25">
      <c r="B13" s="269">
        <v>2200</v>
      </c>
      <c r="C13" s="716" t="s">
        <v>434</v>
      </c>
      <c r="D13" s="719"/>
      <c r="E13" s="270">
        <v>121.95</v>
      </c>
      <c r="F13" s="270" t="s">
        <v>467</v>
      </c>
      <c r="G13" s="710"/>
      <c r="H13" s="711"/>
      <c r="I13" s="711"/>
      <c r="J13" s="711"/>
      <c r="K13" s="712"/>
      <c r="M13" s="269">
        <v>2200</v>
      </c>
      <c r="N13" s="716" t="s">
        <v>434</v>
      </c>
      <c r="O13" s="719"/>
      <c r="P13" s="270">
        <v>121.95</v>
      </c>
      <c r="Q13" s="270" t="s">
        <v>467</v>
      </c>
      <c r="R13" s="710"/>
      <c r="S13" s="711"/>
      <c r="T13" s="711"/>
      <c r="U13" s="711"/>
      <c r="V13" s="712"/>
    </row>
    <row r="14" spans="2:22" ht="18" customHeight="1" x14ac:dyDescent="0.25">
      <c r="B14" s="269"/>
      <c r="C14" s="716"/>
      <c r="D14" s="719"/>
      <c r="E14" s="270"/>
      <c r="F14" s="270"/>
      <c r="G14" s="710"/>
      <c r="H14" s="711"/>
      <c r="I14" s="711"/>
      <c r="J14" s="711"/>
      <c r="K14" s="712"/>
      <c r="M14" s="269"/>
      <c r="N14" s="716"/>
      <c r="O14" s="719"/>
      <c r="P14" s="270"/>
      <c r="Q14" s="270"/>
      <c r="R14" s="710"/>
      <c r="S14" s="711"/>
      <c r="T14" s="711"/>
      <c r="U14" s="711"/>
      <c r="V14" s="712"/>
    </row>
    <row r="15" spans="2:22" ht="18" customHeight="1" x14ac:dyDescent="0.25">
      <c r="B15" s="269"/>
      <c r="C15" s="716"/>
      <c r="D15" s="719"/>
      <c r="E15" s="270"/>
      <c r="F15" s="270"/>
      <c r="G15" s="713"/>
      <c r="H15" s="714"/>
      <c r="I15" s="714"/>
      <c r="J15" s="714"/>
      <c r="K15" s="715"/>
      <c r="M15" s="269"/>
      <c r="N15" s="716"/>
      <c r="O15" s="719"/>
      <c r="P15" s="270"/>
      <c r="Q15" s="270"/>
      <c r="R15" s="713"/>
      <c r="S15" s="714"/>
      <c r="T15" s="714"/>
      <c r="U15" s="714"/>
      <c r="V15" s="715"/>
    </row>
    <row r="16" spans="2:22" x14ac:dyDescent="0.25">
      <c r="B16" s="265" t="s">
        <v>397</v>
      </c>
      <c r="C16" s="701" t="s">
        <v>398</v>
      </c>
      <c r="D16" s="701"/>
      <c r="E16" s="701" t="s">
        <v>399</v>
      </c>
      <c r="F16" s="701"/>
      <c r="G16" s="266" t="s">
        <v>397</v>
      </c>
      <c r="H16" s="701" t="s">
        <v>398</v>
      </c>
      <c r="I16" s="701"/>
      <c r="J16" s="701" t="s">
        <v>399</v>
      </c>
      <c r="K16" s="702"/>
      <c r="M16" s="265" t="s">
        <v>397</v>
      </c>
      <c r="N16" s="701" t="s">
        <v>398</v>
      </c>
      <c r="O16" s="701"/>
      <c r="P16" s="701" t="s">
        <v>399</v>
      </c>
      <c r="Q16" s="701"/>
      <c r="R16" s="266" t="s">
        <v>397</v>
      </c>
      <c r="S16" s="701" t="s">
        <v>398</v>
      </c>
      <c r="T16" s="701"/>
      <c r="U16" s="701" t="s">
        <v>399</v>
      </c>
      <c r="V16" s="702"/>
    </row>
    <row r="17" spans="2:22" x14ac:dyDescent="0.25">
      <c r="B17" s="269">
        <v>1</v>
      </c>
      <c r="C17" s="704" t="s">
        <v>412</v>
      </c>
      <c r="D17" s="704"/>
      <c r="E17" s="704">
        <v>273.57499999999999</v>
      </c>
      <c r="F17" s="716"/>
      <c r="G17" s="271">
        <v>1</v>
      </c>
      <c r="H17" s="704" t="s">
        <v>417</v>
      </c>
      <c r="I17" s="704"/>
      <c r="J17" s="717">
        <v>121.95</v>
      </c>
      <c r="K17" s="718"/>
      <c r="M17" s="269">
        <v>1</v>
      </c>
      <c r="N17" s="704" t="s">
        <v>412</v>
      </c>
      <c r="O17" s="704"/>
      <c r="P17" s="704">
        <v>273.57499999999999</v>
      </c>
      <c r="Q17" s="716"/>
      <c r="R17" s="271">
        <v>1</v>
      </c>
      <c r="S17" s="704" t="s">
        <v>417</v>
      </c>
      <c r="T17" s="704"/>
      <c r="U17" s="717">
        <v>121.95</v>
      </c>
      <c r="V17" s="718"/>
    </row>
    <row r="18" spans="2:22" x14ac:dyDescent="0.25">
      <c r="B18" s="269">
        <v>3</v>
      </c>
      <c r="C18" s="704" t="s">
        <v>413</v>
      </c>
      <c r="D18" s="704"/>
      <c r="E18" s="704">
        <v>317.64999999999998</v>
      </c>
      <c r="F18" s="716"/>
      <c r="G18" s="271">
        <v>6</v>
      </c>
      <c r="H18" s="704" t="s">
        <v>418</v>
      </c>
      <c r="I18" s="704"/>
      <c r="J18" s="717" t="s">
        <v>427</v>
      </c>
      <c r="K18" s="718"/>
      <c r="M18" s="269">
        <v>3</v>
      </c>
      <c r="N18" s="704" t="s">
        <v>413</v>
      </c>
      <c r="O18" s="704"/>
      <c r="P18" s="704">
        <v>317.64999999999998</v>
      </c>
      <c r="Q18" s="716"/>
      <c r="R18" s="271">
        <v>6</v>
      </c>
      <c r="S18" s="704" t="s">
        <v>418</v>
      </c>
      <c r="T18" s="704"/>
      <c r="U18" s="717" t="s">
        <v>427</v>
      </c>
      <c r="V18" s="718"/>
    </row>
    <row r="19" spans="2:22" x14ac:dyDescent="0.25">
      <c r="B19" s="269">
        <v>4</v>
      </c>
      <c r="C19" s="704" t="s">
        <v>414</v>
      </c>
      <c r="D19" s="704"/>
      <c r="E19" s="704">
        <v>348.67500000000001</v>
      </c>
      <c r="F19" s="716"/>
      <c r="G19" s="271" t="s">
        <v>416</v>
      </c>
      <c r="H19" s="704" t="s">
        <v>419</v>
      </c>
      <c r="I19" s="704"/>
      <c r="J19" s="717" t="s">
        <v>428</v>
      </c>
      <c r="K19" s="718"/>
      <c r="M19" s="269">
        <v>4</v>
      </c>
      <c r="N19" s="704" t="s">
        <v>414</v>
      </c>
      <c r="O19" s="704"/>
      <c r="P19" s="704">
        <v>348.67500000000001</v>
      </c>
      <c r="Q19" s="716"/>
      <c r="R19" s="271" t="s">
        <v>416</v>
      </c>
      <c r="S19" s="704" t="s">
        <v>419</v>
      </c>
      <c r="T19" s="704"/>
      <c r="U19" s="717" t="s">
        <v>428</v>
      </c>
      <c r="V19" s="718"/>
    </row>
    <row r="20" spans="2:22" x14ac:dyDescent="0.25">
      <c r="B20" s="269">
        <v>7</v>
      </c>
      <c r="C20" s="704" t="s">
        <v>652</v>
      </c>
      <c r="D20" s="704"/>
      <c r="E20" s="704">
        <v>255.1</v>
      </c>
      <c r="F20" s="716"/>
      <c r="G20" s="271" t="s">
        <v>416</v>
      </c>
      <c r="H20" s="704" t="s">
        <v>420</v>
      </c>
      <c r="I20" s="704"/>
      <c r="J20" s="717">
        <v>123.05</v>
      </c>
      <c r="K20" s="718"/>
      <c r="M20" s="269">
        <v>7</v>
      </c>
      <c r="N20" s="704" t="s">
        <v>652</v>
      </c>
      <c r="O20" s="704"/>
      <c r="P20" s="704">
        <v>255.1</v>
      </c>
      <c r="Q20" s="716"/>
      <c r="R20" s="271" t="s">
        <v>416</v>
      </c>
      <c r="S20" s="704" t="s">
        <v>420</v>
      </c>
      <c r="T20" s="704"/>
      <c r="U20" s="717">
        <v>123.05</v>
      </c>
      <c r="V20" s="718"/>
    </row>
    <row r="21" spans="2:22" x14ac:dyDescent="0.25">
      <c r="B21" s="269" t="s">
        <v>416</v>
      </c>
      <c r="C21" s="716" t="s">
        <v>435</v>
      </c>
      <c r="D21" s="719"/>
      <c r="E21" s="716">
        <v>246.8</v>
      </c>
      <c r="F21" s="720"/>
      <c r="G21" s="271">
        <v>5</v>
      </c>
      <c r="H21" s="704" t="s">
        <v>421</v>
      </c>
      <c r="I21" s="704"/>
      <c r="J21" s="717">
        <v>124.05</v>
      </c>
      <c r="K21" s="718"/>
      <c r="M21" s="269" t="s">
        <v>416</v>
      </c>
      <c r="N21" s="716" t="s">
        <v>435</v>
      </c>
      <c r="O21" s="719"/>
      <c r="P21" s="716">
        <v>246.8</v>
      </c>
      <c r="Q21" s="720"/>
      <c r="R21" s="271">
        <v>5</v>
      </c>
      <c r="S21" s="704" t="s">
        <v>421</v>
      </c>
      <c r="T21" s="704"/>
      <c r="U21" s="717">
        <v>124.05</v>
      </c>
      <c r="V21" s="718"/>
    </row>
    <row r="22" spans="2:22" x14ac:dyDescent="0.25">
      <c r="B22" s="269">
        <v>20</v>
      </c>
      <c r="C22" s="716" t="s">
        <v>415</v>
      </c>
      <c r="D22" s="719"/>
      <c r="E22" s="716">
        <v>281.75</v>
      </c>
      <c r="F22" s="720"/>
      <c r="G22" s="271" t="s">
        <v>416</v>
      </c>
      <c r="H22" s="704" t="s">
        <v>429</v>
      </c>
      <c r="I22" s="704"/>
      <c r="J22" s="704">
        <v>134.875</v>
      </c>
      <c r="K22" s="705"/>
      <c r="M22" s="269">
        <v>20</v>
      </c>
      <c r="N22" s="716" t="s">
        <v>415</v>
      </c>
      <c r="O22" s="719"/>
      <c r="P22" s="716">
        <v>281.75</v>
      </c>
      <c r="Q22" s="720"/>
      <c r="R22" s="271" t="s">
        <v>416</v>
      </c>
      <c r="S22" s="704" t="s">
        <v>429</v>
      </c>
      <c r="T22" s="704"/>
      <c r="U22" s="704">
        <v>134.875</v>
      </c>
      <c r="V22" s="705"/>
    </row>
    <row r="23" spans="2:22" x14ac:dyDescent="0.25">
      <c r="B23" s="269" t="s">
        <v>416</v>
      </c>
      <c r="C23" s="716" t="s">
        <v>431</v>
      </c>
      <c r="D23" s="719"/>
      <c r="E23" s="716">
        <v>282</v>
      </c>
      <c r="F23" s="720"/>
      <c r="G23" s="271" t="s">
        <v>416</v>
      </c>
      <c r="H23" s="704" t="s">
        <v>430</v>
      </c>
      <c r="I23" s="704"/>
      <c r="J23" s="704">
        <v>122.8</v>
      </c>
      <c r="K23" s="705"/>
      <c r="M23" s="269" t="s">
        <v>416</v>
      </c>
      <c r="N23" s="716" t="s">
        <v>431</v>
      </c>
      <c r="O23" s="719"/>
      <c r="P23" s="716">
        <v>282</v>
      </c>
      <c r="Q23" s="720"/>
      <c r="R23" s="271" t="s">
        <v>416</v>
      </c>
      <c r="S23" s="704" t="s">
        <v>430</v>
      </c>
      <c r="T23" s="704"/>
      <c r="U23" s="704">
        <v>122.8</v>
      </c>
      <c r="V23" s="705"/>
    </row>
    <row r="24" spans="2:22" x14ac:dyDescent="0.25">
      <c r="B24" s="269" t="s">
        <v>416</v>
      </c>
      <c r="C24" s="704" t="s">
        <v>432</v>
      </c>
      <c r="D24" s="704"/>
      <c r="E24" s="704">
        <v>259.25</v>
      </c>
      <c r="F24" s="716"/>
      <c r="G24" s="271" t="s">
        <v>416</v>
      </c>
      <c r="H24" s="704" t="s">
        <v>435</v>
      </c>
      <c r="I24" s="704"/>
      <c r="J24" s="704">
        <v>123.45</v>
      </c>
      <c r="K24" s="705"/>
      <c r="M24" s="269" t="s">
        <v>416</v>
      </c>
      <c r="N24" s="704" t="s">
        <v>432</v>
      </c>
      <c r="O24" s="704"/>
      <c r="P24" s="704">
        <v>259.25</v>
      </c>
      <c r="Q24" s="716"/>
      <c r="R24" s="271" t="s">
        <v>416</v>
      </c>
      <c r="S24" s="704" t="s">
        <v>435</v>
      </c>
      <c r="T24" s="704"/>
      <c r="U24" s="704">
        <v>123.45</v>
      </c>
      <c r="V24" s="705"/>
    </row>
    <row r="25" spans="2:22" x14ac:dyDescent="0.25">
      <c r="B25" s="724" t="s">
        <v>400</v>
      </c>
      <c r="C25" s="722"/>
      <c r="D25" s="722"/>
      <c r="E25" s="722"/>
      <c r="F25" s="722"/>
      <c r="G25" s="722"/>
      <c r="H25" s="722"/>
      <c r="I25" s="722"/>
      <c r="J25" s="722" t="s">
        <v>401</v>
      </c>
      <c r="K25" s="723"/>
      <c r="M25" s="724" t="s">
        <v>400</v>
      </c>
      <c r="N25" s="722"/>
      <c r="O25" s="722"/>
      <c r="P25" s="722"/>
      <c r="Q25" s="722"/>
      <c r="R25" s="722"/>
      <c r="S25" s="722"/>
      <c r="T25" s="722"/>
      <c r="U25" s="722" t="s">
        <v>401</v>
      </c>
      <c r="V25" s="723"/>
    </row>
    <row r="26" spans="2:22" ht="20.25" customHeight="1" x14ac:dyDescent="0.25">
      <c r="B26" s="735" t="s">
        <v>437</v>
      </c>
      <c r="C26" s="721"/>
      <c r="D26" s="721" t="s">
        <v>439</v>
      </c>
      <c r="E26" s="721"/>
      <c r="F26" s="721" t="s">
        <v>436</v>
      </c>
      <c r="G26" s="721"/>
      <c r="H26" s="721" t="s">
        <v>402</v>
      </c>
      <c r="I26" s="721"/>
      <c r="J26" s="704" t="s">
        <v>442</v>
      </c>
      <c r="K26" s="705"/>
      <c r="M26" s="735" t="s">
        <v>437</v>
      </c>
      <c r="N26" s="721"/>
      <c r="O26" s="721" t="s">
        <v>439</v>
      </c>
      <c r="P26" s="721"/>
      <c r="Q26" s="721" t="s">
        <v>436</v>
      </c>
      <c r="R26" s="721"/>
      <c r="S26" s="721" t="s">
        <v>402</v>
      </c>
      <c r="T26" s="721"/>
      <c r="U26" s="704" t="s">
        <v>442</v>
      </c>
      <c r="V26" s="705"/>
    </row>
    <row r="27" spans="2:22" ht="20.25" customHeight="1" x14ac:dyDescent="0.25">
      <c r="B27" s="735" t="s">
        <v>438</v>
      </c>
      <c r="C27" s="721"/>
      <c r="D27" s="721" t="s">
        <v>440</v>
      </c>
      <c r="E27" s="721"/>
      <c r="F27" s="721" t="s">
        <v>441</v>
      </c>
      <c r="G27" s="721"/>
      <c r="H27" s="721" t="s">
        <v>403</v>
      </c>
      <c r="I27" s="721"/>
      <c r="J27" s="704" t="s">
        <v>404</v>
      </c>
      <c r="K27" s="705"/>
      <c r="M27" s="735" t="s">
        <v>438</v>
      </c>
      <c r="N27" s="721"/>
      <c r="O27" s="721" t="s">
        <v>440</v>
      </c>
      <c r="P27" s="721"/>
      <c r="Q27" s="721" t="s">
        <v>441</v>
      </c>
      <c r="R27" s="721"/>
      <c r="S27" s="721" t="s">
        <v>403</v>
      </c>
      <c r="T27" s="721"/>
      <c r="U27" s="704" t="s">
        <v>404</v>
      </c>
      <c r="V27" s="705"/>
    </row>
    <row r="28" spans="2:22" ht="30" customHeight="1" x14ac:dyDescent="0.25">
      <c r="B28" s="735" t="s">
        <v>405</v>
      </c>
      <c r="C28" s="721"/>
      <c r="D28" s="721"/>
      <c r="E28" s="721"/>
      <c r="F28" s="721"/>
      <c r="G28" s="721"/>
      <c r="H28" s="721"/>
      <c r="I28" s="721"/>
      <c r="J28" s="721"/>
      <c r="K28" s="736"/>
      <c r="M28" s="735" t="s">
        <v>405</v>
      </c>
      <c r="N28" s="721"/>
      <c r="O28" s="721"/>
      <c r="P28" s="721"/>
      <c r="Q28" s="721"/>
      <c r="R28" s="721"/>
      <c r="S28" s="721"/>
      <c r="T28" s="721"/>
      <c r="U28" s="721"/>
      <c r="V28" s="736"/>
    </row>
    <row r="29" spans="2:22" ht="30" customHeight="1" x14ac:dyDescent="0.25">
      <c r="B29" s="735" t="s">
        <v>405</v>
      </c>
      <c r="C29" s="721"/>
      <c r="D29" s="721"/>
      <c r="E29" s="721"/>
      <c r="F29" s="721"/>
      <c r="G29" s="721"/>
      <c r="H29" s="721"/>
      <c r="I29" s="721"/>
      <c r="J29" s="721"/>
      <c r="K29" s="736"/>
      <c r="M29" s="735" t="s">
        <v>405</v>
      </c>
      <c r="N29" s="721"/>
      <c r="O29" s="721"/>
      <c r="P29" s="721"/>
      <c r="Q29" s="721"/>
      <c r="R29" s="721"/>
      <c r="S29" s="721"/>
      <c r="T29" s="721"/>
      <c r="U29" s="721"/>
      <c r="V29" s="736"/>
    </row>
    <row r="30" spans="2:22" x14ac:dyDescent="0.25">
      <c r="B30" s="267" t="s">
        <v>406</v>
      </c>
      <c r="C30" s="268" t="s">
        <v>324</v>
      </c>
      <c r="D30" s="268" t="s">
        <v>323</v>
      </c>
      <c r="E30" s="701" t="s">
        <v>407</v>
      </c>
      <c r="F30" s="701"/>
      <c r="G30" s="701" t="s">
        <v>408</v>
      </c>
      <c r="H30" s="701"/>
      <c r="I30" s="701" t="s">
        <v>411</v>
      </c>
      <c r="J30" s="701"/>
      <c r="K30" s="702"/>
      <c r="M30" s="267" t="s">
        <v>406</v>
      </c>
      <c r="N30" s="268" t="s">
        <v>324</v>
      </c>
      <c r="O30" s="268" t="s">
        <v>323</v>
      </c>
      <c r="P30" s="701" t="s">
        <v>407</v>
      </c>
      <c r="Q30" s="701"/>
      <c r="R30" s="701" t="s">
        <v>408</v>
      </c>
      <c r="S30" s="701"/>
      <c r="T30" s="701" t="s">
        <v>411</v>
      </c>
      <c r="U30" s="701"/>
      <c r="V30" s="702"/>
    </row>
    <row r="31" spans="2:22" ht="20.25" customHeight="1" x14ac:dyDescent="0.25">
      <c r="B31" s="269" t="s">
        <v>409</v>
      </c>
      <c r="C31" s="270"/>
      <c r="D31" s="270"/>
      <c r="E31" s="704"/>
      <c r="F31" s="704"/>
      <c r="G31" s="704"/>
      <c r="H31" s="704"/>
      <c r="I31" s="704"/>
      <c r="J31" s="704"/>
      <c r="K31" s="705"/>
      <c r="M31" s="269" t="s">
        <v>409</v>
      </c>
      <c r="N31" s="270"/>
      <c r="O31" s="270"/>
      <c r="P31" s="704"/>
      <c r="Q31" s="704"/>
      <c r="R31" s="704"/>
      <c r="S31" s="704"/>
      <c r="T31" s="704"/>
      <c r="U31" s="704"/>
      <c r="V31" s="705"/>
    </row>
    <row r="32" spans="2:22" ht="20.25" customHeight="1" x14ac:dyDescent="0.25">
      <c r="B32" s="269" t="s">
        <v>410</v>
      </c>
      <c r="C32" s="270"/>
      <c r="D32" s="270"/>
      <c r="E32" s="704"/>
      <c r="F32" s="704"/>
      <c r="G32" s="704"/>
      <c r="H32" s="704"/>
      <c r="I32" s="704"/>
      <c r="J32" s="704"/>
      <c r="K32" s="705"/>
      <c r="M32" s="269" t="s">
        <v>410</v>
      </c>
      <c r="N32" s="270"/>
      <c r="O32" s="270"/>
      <c r="P32" s="704"/>
      <c r="Q32" s="704"/>
      <c r="R32" s="704"/>
      <c r="S32" s="704"/>
      <c r="T32" s="704"/>
      <c r="U32" s="704"/>
      <c r="V32" s="705"/>
    </row>
    <row r="33" spans="2:22" x14ac:dyDescent="0.25">
      <c r="B33" s="725" t="s">
        <v>276</v>
      </c>
      <c r="C33" s="701"/>
      <c r="D33" s="701"/>
      <c r="E33" s="701"/>
      <c r="F33" s="701"/>
      <c r="G33" s="701"/>
      <c r="H33" s="701"/>
      <c r="I33" s="701"/>
      <c r="J33" s="701"/>
      <c r="K33" s="702"/>
      <c r="M33" s="725" t="s">
        <v>276</v>
      </c>
      <c r="N33" s="701"/>
      <c r="O33" s="701"/>
      <c r="P33" s="701"/>
      <c r="Q33" s="701"/>
      <c r="R33" s="701"/>
      <c r="S33" s="701"/>
      <c r="T33" s="701"/>
      <c r="U33" s="701"/>
      <c r="V33" s="702"/>
    </row>
    <row r="34" spans="2:22" x14ac:dyDescent="0.25">
      <c r="B34" s="726"/>
      <c r="C34" s="727"/>
      <c r="D34" s="727"/>
      <c r="E34" s="727"/>
      <c r="F34" s="727"/>
      <c r="G34" s="727"/>
      <c r="H34" s="727"/>
      <c r="I34" s="727"/>
      <c r="J34" s="727"/>
      <c r="K34" s="728"/>
      <c r="M34" s="726"/>
      <c r="N34" s="727"/>
      <c r="O34" s="727"/>
      <c r="P34" s="727"/>
      <c r="Q34" s="727"/>
      <c r="R34" s="727"/>
      <c r="S34" s="727"/>
      <c r="T34" s="727"/>
      <c r="U34" s="727"/>
      <c r="V34" s="728"/>
    </row>
    <row r="35" spans="2:22" x14ac:dyDescent="0.25">
      <c r="B35" s="729"/>
      <c r="C35" s="730"/>
      <c r="D35" s="730"/>
      <c r="E35" s="730"/>
      <c r="F35" s="730"/>
      <c r="G35" s="730"/>
      <c r="H35" s="730"/>
      <c r="I35" s="730"/>
      <c r="J35" s="730"/>
      <c r="K35" s="731"/>
      <c r="M35" s="729"/>
      <c r="N35" s="730"/>
      <c r="O35" s="730"/>
      <c r="P35" s="730"/>
      <c r="Q35" s="730"/>
      <c r="R35" s="730"/>
      <c r="S35" s="730"/>
      <c r="T35" s="730"/>
      <c r="U35" s="730"/>
      <c r="V35" s="731"/>
    </row>
    <row r="36" spans="2:22" x14ac:dyDescent="0.25">
      <c r="B36" s="729"/>
      <c r="C36" s="730"/>
      <c r="D36" s="730"/>
      <c r="E36" s="730"/>
      <c r="F36" s="730"/>
      <c r="G36" s="730"/>
      <c r="H36" s="730"/>
      <c r="I36" s="730"/>
      <c r="J36" s="730"/>
      <c r="K36" s="731"/>
      <c r="M36" s="729"/>
      <c r="N36" s="730"/>
      <c r="O36" s="730"/>
      <c r="P36" s="730"/>
      <c r="Q36" s="730"/>
      <c r="R36" s="730"/>
      <c r="S36" s="730"/>
      <c r="T36" s="730"/>
      <c r="U36" s="730"/>
      <c r="V36" s="731"/>
    </row>
    <row r="37" spans="2:22" x14ac:dyDescent="0.25">
      <c r="B37" s="729"/>
      <c r="C37" s="730"/>
      <c r="D37" s="730"/>
      <c r="E37" s="730"/>
      <c r="F37" s="730"/>
      <c r="G37" s="730"/>
      <c r="H37" s="730"/>
      <c r="I37" s="730"/>
      <c r="J37" s="730"/>
      <c r="K37" s="731"/>
      <c r="M37" s="729"/>
      <c r="N37" s="730"/>
      <c r="O37" s="730"/>
      <c r="P37" s="730"/>
      <c r="Q37" s="730"/>
      <c r="R37" s="730"/>
      <c r="S37" s="730"/>
      <c r="T37" s="730"/>
      <c r="U37" s="730"/>
      <c r="V37" s="731"/>
    </row>
    <row r="38" spans="2:22" x14ac:dyDescent="0.25">
      <c r="B38" s="729"/>
      <c r="C38" s="730"/>
      <c r="D38" s="730"/>
      <c r="E38" s="730"/>
      <c r="F38" s="730"/>
      <c r="G38" s="730"/>
      <c r="H38" s="730"/>
      <c r="I38" s="730"/>
      <c r="J38" s="730"/>
      <c r="K38" s="731"/>
      <c r="M38" s="729"/>
      <c r="N38" s="730"/>
      <c r="O38" s="730"/>
      <c r="P38" s="730"/>
      <c r="Q38" s="730"/>
      <c r="R38" s="730"/>
      <c r="S38" s="730"/>
      <c r="T38" s="730"/>
      <c r="U38" s="730"/>
      <c r="V38" s="731"/>
    </row>
    <row r="39" spans="2:22" x14ac:dyDescent="0.25">
      <c r="B39" s="729"/>
      <c r="C39" s="730"/>
      <c r="D39" s="730"/>
      <c r="E39" s="730"/>
      <c r="F39" s="730"/>
      <c r="G39" s="730"/>
      <c r="H39" s="730"/>
      <c r="I39" s="730"/>
      <c r="J39" s="730"/>
      <c r="K39" s="731"/>
      <c r="M39" s="729"/>
      <c r="N39" s="730"/>
      <c r="O39" s="730"/>
      <c r="P39" s="730"/>
      <c r="Q39" s="730"/>
      <c r="R39" s="730"/>
      <c r="S39" s="730"/>
      <c r="T39" s="730"/>
      <c r="U39" s="730"/>
      <c r="V39" s="731"/>
    </row>
    <row r="40" spans="2:22" x14ac:dyDescent="0.25">
      <c r="B40" s="729"/>
      <c r="C40" s="730"/>
      <c r="D40" s="730"/>
      <c r="E40" s="730"/>
      <c r="F40" s="730"/>
      <c r="G40" s="730"/>
      <c r="H40" s="730"/>
      <c r="I40" s="730"/>
      <c r="J40" s="730"/>
      <c r="K40" s="731"/>
      <c r="M40" s="729"/>
      <c r="N40" s="730"/>
      <c r="O40" s="730"/>
      <c r="P40" s="730"/>
      <c r="Q40" s="730"/>
      <c r="R40" s="730"/>
      <c r="S40" s="730"/>
      <c r="T40" s="730"/>
      <c r="U40" s="730"/>
      <c r="V40" s="731"/>
    </row>
    <row r="41" spans="2:22" x14ac:dyDescent="0.25">
      <c r="B41" s="729"/>
      <c r="C41" s="730"/>
      <c r="D41" s="730"/>
      <c r="E41" s="730"/>
      <c r="F41" s="730"/>
      <c r="G41" s="730"/>
      <c r="H41" s="730"/>
      <c r="I41" s="730"/>
      <c r="J41" s="730"/>
      <c r="K41" s="731"/>
      <c r="M41" s="729"/>
      <c r="N41" s="730"/>
      <c r="O41" s="730"/>
      <c r="P41" s="730"/>
      <c r="Q41" s="730"/>
      <c r="R41" s="730"/>
      <c r="S41" s="730"/>
      <c r="T41" s="730"/>
      <c r="U41" s="730"/>
      <c r="V41" s="731"/>
    </row>
    <row r="42" spans="2:22" x14ac:dyDescent="0.25">
      <c r="B42" s="729"/>
      <c r="C42" s="730"/>
      <c r="D42" s="730"/>
      <c r="E42" s="730"/>
      <c r="F42" s="730"/>
      <c r="G42" s="730"/>
      <c r="H42" s="730"/>
      <c r="I42" s="730"/>
      <c r="J42" s="730"/>
      <c r="K42" s="731"/>
      <c r="M42" s="729"/>
      <c r="N42" s="730"/>
      <c r="O42" s="730"/>
      <c r="P42" s="730"/>
      <c r="Q42" s="730"/>
      <c r="R42" s="730"/>
      <c r="S42" s="730"/>
      <c r="T42" s="730"/>
      <c r="U42" s="730"/>
      <c r="V42" s="731"/>
    </row>
    <row r="43" spans="2:22" x14ac:dyDescent="0.25">
      <c r="B43" s="729"/>
      <c r="C43" s="730"/>
      <c r="D43" s="730"/>
      <c r="E43" s="730"/>
      <c r="F43" s="730"/>
      <c r="G43" s="730"/>
      <c r="H43" s="730"/>
      <c r="I43" s="730"/>
      <c r="J43" s="730"/>
      <c r="K43" s="731"/>
      <c r="M43" s="729"/>
      <c r="N43" s="730"/>
      <c r="O43" s="730"/>
      <c r="P43" s="730"/>
      <c r="Q43" s="730"/>
      <c r="R43" s="730"/>
      <c r="S43" s="730"/>
      <c r="T43" s="730"/>
      <c r="U43" s="730"/>
      <c r="V43" s="731"/>
    </row>
    <row r="44" spans="2:22" ht="54" customHeight="1" thickBot="1" x14ac:dyDescent="0.3">
      <c r="B44" s="732"/>
      <c r="C44" s="733"/>
      <c r="D44" s="733"/>
      <c r="E44" s="733"/>
      <c r="F44" s="733"/>
      <c r="G44" s="733"/>
      <c r="H44" s="733"/>
      <c r="I44" s="733"/>
      <c r="J44" s="733"/>
      <c r="K44" s="734"/>
      <c r="M44" s="732"/>
      <c r="N44" s="733"/>
      <c r="O44" s="733"/>
      <c r="P44" s="733"/>
      <c r="Q44" s="733"/>
      <c r="R44" s="733"/>
      <c r="S44" s="733"/>
      <c r="T44" s="733"/>
      <c r="U44" s="733"/>
      <c r="V44" s="734"/>
    </row>
  </sheetData>
  <mergeCells count="170">
    <mergeCell ref="M26:N26"/>
    <mergeCell ref="S26:T26"/>
    <mergeCell ref="M28:V28"/>
    <mergeCell ref="P30:Q30"/>
    <mergeCell ref="R30:S30"/>
    <mergeCell ref="T30:V30"/>
    <mergeCell ref="N7:O7"/>
    <mergeCell ref="R7:V7"/>
    <mergeCell ref="R8:V15"/>
    <mergeCell ref="P16:Q16"/>
    <mergeCell ref="S16:T16"/>
    <mergeCell ref="U16:V16"/>
    <mergeCell ref="N10:O10"/>
    <mergeCell ref="N11:O11"/>
    <mergeCell ref="N12:O12"/>
    <mergeCell ref="N13:O13"/>
    <mergeCell ref="N14:O14"/>
    <mergeCell ref="N15:O15"/>
    <mergeCell ref="N16:O16"/>
    <mergeCell ref="N24:O24"/>
    <mergeCell ref="P24:Q24"/>
    <mergeCell ref="S24:T24"/>
    <mergeCell ref="U24:V24"/>
    <mergeCell ref="U25:V25"/>
    <mergeCell ref="M2:V2"/>
    <mergeCell ref="M3:O3"/>
    <mergeCell ref="P3:S3"/>
    <mergeCell ref="T3:V3"/>
    <mergeCell ref="O4:P4"/>
    <mergeCell ref="Q4:S4"/>
    <mergeCell ref="M29:V29"/>
    <mergeCell ref="N20:O20"/>
    <mergeCell ref="P20:Q20"/>
    <mergeCell ref="S20:T20"/>
    <mergeCell ref="U20:V20"/>
    <mergeCell ref="N21:O21"/>
    <mergeCell ref="P21:Q21"/>
    <mergeCell ref="S21:T21"/>
    <mergeCell ref="U21:V21"/>
    <mergeCell ref="N18:O18"/>
    <mergeCell ref="P18:Q18"/>
    <mergeCell ref="S18:T18"/>
    <mergeCell ref="U18:V18"/>
    <mergeCell ref="N19:O19"/>
    <mergeCell ref="P19:Q19"/>
    <mergeCell ref="S19:T19"/>
    <mergeCell ref="U19:V19"/>
    <mergeCell ref="N9:O9"/>
    <mergeCell ref="T4:V4"/>
    <mergeCell ref="O5:P5"/>
    <mergeCell ref="Q5:S5"/>
    <mergeCell ref="T5:V5"/>
    <mergeCell ref="O6:P6"/>
    <mergeCell ref="Q6:S6"/>
    <mergeCell ref="T6:V6"/>
    <mergeCell ref="N8:O8"/>
    <mergeCell ref="M34:V44"/>
    <mergeCell ref="M33:V33"/>
    <mergeCell ref="P32:Q32"/>
    <mergeCell ref="R32:S32"/>
    <mergeCell ref="T32:V32"/>
    <mergeCell ref="P31:Q31"/>
    <mergeCell ref="R31:S31"/>
    <mergeCell ref="T31:V31"/>
    <mergeCell ref="O26:P26"/>
    <mergeCell ref="Q26:R26"/>
    <mergeCell ref="O27:P27"/>
    <mergeCell ref="Q27:R27"/>
    <mergeCell ref="U26:V26"/>
    <mergeCell ref="M27:N27"/>
    <mergeCell ref="S27:T27"/>
    <mergeCell ref="U27:V27"/>
    <mergeCell ref="N22:O22"/>
    <mergeCell ref="P22:Q22"/>
    <mergeCell ref="S22:T22"/>
    <mergeCell ref="U22:V22"/>
    <mergeCell ref="N23:O23"/>
    <mergeCell ref="P23:Q23"/>
    <mergeCell ref="S23:T23"/>
    <mergeCell ref="U23:V23"/>
    <mergeCell ref="M25:T25"/>
    <mergeCell ref="N17:O17"/>
    <mergeCell ref="P17:Q17"/>
    <mergeCell ref="S17:T17"/>
    <mergeCell ref="U17:V17"/>
    <mergeCell ref="B33:K33"/>
    <mergeCell ref="B34:K44"/>
    <mergeCell ref="I31:K31"/>
    <mergeCell ref="I32:K32"/>
    <mergeCell ref="E31:F31"/>
    <mergeCell ref="E32:F32"/>
    <mergeCell ref="G31:H31"/>
    <mergeCell ref="G32:H32"/>
    <mergeCell ref="B28:K28"/>
    <mergeCell ref="B29:K29"/>
    <mergeCell ref="E30:F30"/>
    <mergeCell ref="G30:H30"/>
    <mergeCell ref="I30:K30"/>
    <mergeCell ref="J27:K27"/>
    <mergeCell ref="H27:I27"/>
    <mergeCell ref="F27:G27"/>
    <mergeCell ref="D27:E27"/>
    <mergeCell ref="B27:C27"/>
    <mergeCell ref="B26:C26"/>
    <mergeCell ref="D26:E26"/>
    <mergeCell ref="F26:G26"/>
    <mergeCell ref="H26:I26"/>
    <mergeCell ref="J26:K26"/>
    <mergeCell ref="J21:K21"/>
    <mergeCell ref="J20:K20"/>
    <mergeCell ref="J19:K19"/>
    <mergeCell ref="J18:K18"/>
    <mergeCell ref="C16:D16"/>
    <mergeCell ref="E16:F16"/>
    <mergeCell ref="H16:I16"/>
    <mergeCell ref="J16:K16"/>
    <mergeCell ref="H22:I22"/>
    <mergeCell ref="H23:I23"/>
    <mergeCell ref="H24:I24"/>
    <mergeCell ref="J25:K25"/>
    <mergeCell ref="J24:K24"/>
    <mergeCell ref="J23:K23"/>
    <mergeCell ref="J22:K22"/>
    <mergeCell ref="B25:I25"/>
    <mergeCell ref="H18:I18"/>
    <mergeCell ref="H19:I19"/>
    <mergeCell ref="H20:I20"/>
    <mergeCell ref="H21:I21"/>
    <mergeCell ref="E22:F22"/>
    <mergeCell ref="E21:F21"/>
    <mergeCell ref="E20:F20"/>
    <mergeCell ref="E19:F19"/>
    <mergeCell ref="E18:F18"/>
    <mergeCell ref="C23:D23"/>
    <mergeCell ref="C24:D24"/>
    <mergeCell ref="E24:F24"/>
    <mergeCell ref="E23:F23"/>
    <mergeCell ref="C18:D18"/>
    <mergeCell ref="C19:D19"/>
    <mergeCell ref="C20:D20"/>
    <mergeCell ref="C21:D21"/>
    <mergeCell ref="C22:D22"/>
    <mergeCell ref="G8:K15"/>
    <mergeCell ref="C17:D17"/>
    <mergeCell ref="E17:F17"/>
    <mergeCell ref="J17:K17"/>
    <mergeCell ref="H17:I17"/>
    <mergeCell ref="C8:D8"/>
    <mergeCell ref="C9:D9"/>
    <mergeCell ref="C10:D10"/>
    <mergeCell ref="C11:D11"/>
    <mergeCell ref="C12:D12"/>
    <mergeCell ref="C13:D13"/>
    <mergeCell ref="C14:D14"/>
    <mergeCell ref="C15:D15"/>
    <mergeCell ref="B2:K2"/>
    <mergeCell ref="B3:D3"/>
    <mergeCell ref="E3:H3"/>
    <mergeCell ref="I3:K3"/>
    <mergeCell ref="D4:E4"/>
    <mergeCell ref="F4:H4"/>
    <mergeCell ref="I4:K4"/>
    <mergeCell ref="C7:D7"/>
    <mergeCell ref="D5:E5"/>
    <mergeCell ref="D6:E6"/>
    <mergeCell ref="F5:H5"/>
    <mergeCell ref="F6:H6"/>
    <mergeCell ref="I5:K5"/>
    <mergeCell ref="I6:K6"/>
    <mergeCell ref="G7:K7"/>
  </mergeCells>
  <pageMargins left="0.7" right="0.7" top="0.75" bottom="0.75" header="0.3" footer="0.3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B1:Z55"/>
  <sheetViews>
    <sheetView workbookViewId="0">
      <selection activeCell="H19" sqref="H19"/>
    </sheetView>
  </sheetViews>
  <sheetFormatPr defaultColWidth="8.85546875" defaultRowHeight="15" x14ac:dyDescent="0.25"/>
  <cols>
    <col min="1" max="1" width="1.42578125" customWidth="1"/>
    <col min="2" max="2" width="11" customWidth="1"/>
    <col min="3" max="4" width="10.42578125" customWidth="1"/>
    <col min="5" max="8" width="7.42578125" customWidth="1"/>
    <col min="10" max="13" width="10.42578125" customWidth="1"/>
    <col min="14" max="14" width="40.42578125" customWidth="1"/>
    <col min="15" max="15" width="11.85546875" customWidth="1"/>
    <col min="16" max="17" width="10.42578125" customWidth="1"/>
    <col min="18" max="21" width="7.42578125" customWidth="1"/>
    <col min="23" max="26" width="10.42578125" customWidth="1"/>
  </cols>
  <sheetData>
    <row r="1" spans="2:26" ht="6.75" customHeight="1" thickBot="1" x14ac:dyDescent="0.3"/>
    <row r="2" spans="2:26" ht="67.5" customHeight="1" x14ac:dyDescent="0.25">
      <c r="B2" s="695" t="s">
        <v>620</v>
      </c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7"/>
      <c r="O2" s="695" t="s">
        <v>620</v>
      </c>
      <c r="P2" s="696"/>
      <c r="Q2" s="696"/>
      <c r="R2" s="696"/>
      <c r="S2" s="696"/>
      <c r="T2" s="696"/>
      <c r="U2" s="696"/>
      <c r="V2" s="696"/>
      <c r="W2" s="696"/>
      <c r="X2" s="696"/>
      <c r="Y2" s="696"/>
      <c r="Z2" s="697"/>
    </row>
    <row r="3" spans="2:26" ht="23.25" customHeight="1" x14ac:dyDescent="0.25">
      <c r="B3" s="740" t="s">
        <v>388</v>
      </c>
      <c r="C3" s="741"/>
      <c r="D3" s="741"/>
      <c r="E3" s="742" t="s">
        <v>192</v>
      </c>
      <c r="F3" s="743"/>
      <c r="G3" s="743"/>
      <c r="H3" s="743"/>
      <c r="I3" s="742" t="s">
        <v>443</v>
      </c>
      <c r="J3" s="743"/>
      <c r="K3" s="743"/>
      <c r="L3" s="743"/>
      <c r="M3" s="744"/>
      <c r="O3" s="740" t="s">
        <v>388</v>
      </c>
      <c r="P3" s="741"/>
      <c r="Q3" s="741"/>
      <c r="R3" s="742" t="s">
        <v>192</v>
      </c>
      <c r="S3" s="743"/>
      <c r="T3" s="743"/>
      <c r="U3" s="743"/>
      <c r="V3" s="742" t="s">
        <v>443</v>
      </c>
      <c r="W3" s="743"/>
      <c r="X3" s="743"/>
      <c r="Y3" s="743"/>
      <c r="Z3" s="744"/>
    </row>
    <row r="4" spans="2:26" x14ac:dyDescent="0.25">
      <c r="B4" s="265" t="s">
        <v>390</v>
      </c>
      <c r="C4" s="266" t="s">
        <v>391</v>
      </c>
      <c r="D4" s="737" t="s">
        <v>444</v>
      </c>
      <c r="E4" s="737"/>
      <c r="F4" s="738"/>
      <c r="G4" s="701" t="s">
        <v>393</v>
      </c>
      <c r="H4" s="701"/>
      <c r="I4" s="701"/>
      <c r="J4" s="701"/>
      <c r="K4" s="266" t="s">
        <v>445</v>
      </c>
      <c r="L4" s="737" t="s">
        <v>394</v>
      </c>
      <c r="M4" s="739"/>
      <c r="O4" s="265" t="s">
        <v>390</v>
      </c>
      <c r="P4" s="266" t="s">
        <v>391</v>
      </c>
      <c r="Q4" s="737" t="s">
        <v>444</v>
      </c>
      <c r="R4" s="737"/>
      <c r="S4" s="738"/>
      <c r="T4" s="701" t="s">
        <v>393</v>
      </c>
      <c r="U4" s="701"/>
      <c r="V4" s="701"/>
      <c r="W4" s="701"/>
      <c r="X4" s="266" t="s">
        <v>445</v>
      </c>
      <c r="Y4" s="737" t="s">
        <v>394</v>
      </c>
      <c r="Z4" s="739"/>
    </row>
    <row r="5" spans="2:26" ht="24.95" customHeight="1" x14ac:dyDescent="0.25">
      <c r="B5" s="269"/>
      <c r="C5" s="270"/>
      <c r="D5" s="716"/>
      <c r="E5" s="745"/>
      <c r="F5" s="719"/>
      <c r="G5" s="704" t="s">
        <v>446</v>
      </c>
      <c r="H5" s="704"/>
      <c r="I5" s="704"/>
      <c r="J5" s="704"/>
      <c r="K5" s="270" t="s">
        <v>447</v>
      </c>
      <c r="L5" s="716"/>
      <c r="M5" s="746"/>
      <c r="O5" s="269"/>
      <c r="P5" s="270"/>
      <c r="Q5" s="716"/>
      <c r="R5" s="745"/>
      <c r="S5" s="719"/>
      <c r="T5" s="704" t="s">
        <v>446</v>
      </c>
      <c r="U5" s="704"/>
      <c r="V5" s="704"/>
      <c r="W5" s="704"/>
      <c r="X5" s="270" t="s">
        <v>447</v>
      </c>
      <c r="Y5" s="716"/>
      <c r="Z5" s="746"/>
    </row>
    <row r="6" spans="2:26" ht="24.95" customHeight="1" x14ac:dyDescent="0.25">
      <c r="B6" s="269"/>
      <c r="C6" s="270"/>
      <c r="D6" s="716"/>
      <c r="E6" s="745"/>
      <c r="F6" s="719"/>
      <c r="G6" s="704" t="s">
        <v>448</v>
      </c>
      <c r="H6" s="704"/>
      <c r="I6" s="704"/>
      <c r="J6" s="704"/>
      <c r="K6" s="270" t="s">
        <v>449</v>
      </c>
      <c r="L6" s="716"/>
      <c r="M6" s="746"/>
      <c r="O6" s="269"/>
      <c r="P6" s="270"/>
      <c r="Q6" s="716"/>
      <c r="R6" s="745"/>
      <c r="S6" s="719"/>
      <c r="T6" s="704" t="s">
        <v>448</v>
      </c>
      <c r="U6" s="704"/>
      <c r="V6" s="704"/>
      <c r="W6" s="704"/>
      <c r="X6" s="270" t="s">
        <v>449</v>
      </c>
      <c r="Y6" s="716"/>
      <c r="Z6" s="746"/>
    </row>
    <row r="7" spans="2:26" ht="21.75" customHeight="1" x14ac:dyDescent="0.25">
      <c r="B7" s="272" t="s">
        <v>123</v>
      </c>
      <c r="C7" s="703" t="s">
        <v>395</v>
      </c>
      <c r="D7" s="703"/>
      <c r="E7" s="274" t="s">
        <v>450</v>
      </c>
      <c r="F7" s="274" t="s">
        <v>451</v>
      </c>
      <c r="G7" s="274" t="s">
        <v>452</v>
      </c>
      <c r="H7" s="274" t="s">
        <v>453</v>
      </c>
      <c r="I7" s="703" t="s">
        <v>276</v>
      </c>
      <c r="J7" s="703"/>
      <c r="K7" s="703"/>
      <c r="L7" s="703"/>
      <c r="M7" s="706"/>
      <c r="O7" s="272" t="s">
        <v>123</v>
      </c>
      <c r="P7" s="703" t="s">
        <v>395</v>
      </c>
      <c r="Q7" s="703"/>
      <c r="R7" s="274" t="s">
        <v>450</v>
      </c>
      <c r="S7" s="274" t="s">
        <v>451</v>
      </c>
      <c r="T7" s="274" t="s">
        <v>452</v>
      </c>
      <c r="U7" s="274" t="s">
        <v>453</v>
      </c>
      <c r="V7" s="703" t="s">
        <v>276</v>
      </c>
      <c r="W7" s="703"/>
      <c r="X7" s="703"/>
      <c r="Y7" s="703"/>
      <c r="Z7" s="706"/>
    </row>
    <row r="8" spans="2:26" ht="18" customHeight="1" x14ac:dyDescent="0.25">
      <c r="B8" s="269">
        <v>1030</v>
      </c>
      <c r="C8" s="716" t="s">
        <v>454</v>
      </c>
      <c r="D8" s="719"/>
      <c r="E8" s="270" t="s">
        <v>621</v>
      </c>
      <c r="F8" s="270" t="s">
        <v>455</v>
      </c>
      <c r="G8" s="275" t="s">
        <v>456</v>
      </c>
      <c r="H8" s="270">
        <v>7</v>
      </c>
      <c r="I8" s="749" t="s">
        <v>619</v>
      </c>
      <c r="J8" s="750"/>
      <c r="K8" s="750"/>
      <c r="L8" s="750"/>
      <c r="M8" s="751"/>
      <c r="O8" s="269">
        <v>1030</v>
      </c>
      <c r="P8" s="716" t="s">
        <v>454</v>
      </c>
      <c r="Q8" s="719"/>
      <c r="R8" s="270" t="s">
        <v>621</v>
      </c>
      <c r="S8" s="270" t="s">
        <v>455</v>
      </c>
      <c r="T8" s="275" t="s">
        <v>456</v>
      </c>
      <c r="U8" s="270">
        <v>7</v>
      </c>
      <c r="V8" s="749" t="s">
        <v>619</v>
      </c>
      <c r="W8" s="750"/>
      <c r="X8" s="750"/>
      <c r="Y8" s="750"/>
      <c r="Z8" s="751"/>
    </row>
    <row r="9" spans="2:26" ht="18" customHeight="1" x14ac:dyDescent="0.25">
      <c r="B9" s="276">
        <v>1050</v>
      </c>
      <c r="C9" s="747" t="s">
        <v>423</v>
      </c>
      <c r="D9" s="748"/>
      <c r="E9" s="277" t="s">
        <v>621</v>
      </c>
      <c r="F9" s="277" t="s">
        <v>455</v>
      </c>
      <c r="G9" s="277">
        <v>3</v>
      </c>
      <c r="H9" s="277">
        <v>7</v>
      </c>
      <c r="I9" s="752"/>
      <c r="J9" s="753"/>
      <c r="K9" s="753"/>
      <c r="L9" s="753"/>
      <c r="M9" s="754"/>
      <c r="O9" s="276">
        <v>1050</v>
      </c>
      <c r="P9" s="747" t="s">
        <v>423</v>
      </c>
      <c r="Q9" s="748"/>
      <c r="R9" s="277" t="s">
        <v>621</v>
      </c>
      <c r="S9" s="277" t="s">
        <v>455</v>
      </c>
      <c r="T9" s="277">
        <v>3</v>
      </c>
      <c r="U9" s="277">
        <v>7</v>
      </c>
      <c r="V9" s="752"/>
      <c r="W9" s="753"/>
      <c r="X9" s="753"/>
      <c r="Y9" s="753"/>
      <c r="Z9" s="754"/>
    </row>
    <row r="10" spans="2:26" ht="18" customHeight="1" x14ac:dyDescent="0.25">
      <c r="B10" s="269">
        <v>1055</v>
      </c>
      <c r="C10" s="716" t="s">
        <v>424</v>
      </c>
      <c r="D10" s="719"/>
      <c r="E10" s="270" t="s">
        <v>621</v>
      </c>
      <c r="F10" s="270" t="s">
        <v>455</v>
      </c>
      <c r="G10" s="270" t="s">
        <v>457</v>
      </c>
      <c r="H10" s="270">
        <v>7</v>
      </c>
      <c r="I10" s="752"/>
      <c r="J10" s="753"/>
      <c r="K10" s="753"/>
      <c r="L10" s="753"/>
      <c r="M10" s="754"/>
      <c r="O10" s="269">
        <v>1055</v>
      </c>
      <c r="P10" s="716" t="s">
        <v>424</v>
      </c>
      <c r="Q10" s="719"/>
      <c r="R10" s="270" t="s">
        <v>621</v>
      </c>
      <c r="S10" s="270" t="s">
        <v>455</v>
      </c>
      <c r="T10" s="270" t="s">
        <v>457</v>
      </c>
      <c r="U10" s="270">
        <v>7</v>
      </c>
      <c r="V10" s="752"/>
      <c r="W10" s="753"/>
      <c r="X10" s="753"/>
      <c r="Y10" s="753"/>
      <c r="Z10" s="754"/>
    </row>
    <row r="11" spans="2:26" ht="18" customHeight="1" x14ac:dyDescent="0.25">
      <c r="B11" s="276">
        <v>1100</v>
      </c>
      <c r="C11" s="747" t="s">
        <v>204</v>
      </c>
      <c r="D11" s="748"/>
      <c r="E11" s="277" t="s">
        <v>621</v>
      </c>
      <c r="F11" s="277" t="s">
        <v>455</v>
      </c>
      <c r="G11" s="277" t="s">
        <v>458</v>
      </c>
      <c r="H11" s="277">
        <v>7</v>
      </c>
      <c r="I11" s="752"/>
      <c r="J11" s="753"/>
      <c r="K11" s="753"/>
      <c r="L11" s="753"/>
      <c r="M11" s="754"/>
      <c r="O11" s="276">
        <v>1100</v>
      </c>
      <c r="P11" s="747" t="s">
        <v>204</v>
      </c>
      <c r="Q11" s="748"/>
      <c r="R11" s="277" t="s">
        <v>621</v>
      </c>
      <c r="S11" s="277" t="s">
        <v>455</v>
      </c>
      <c r="T11" s="277" t="s">
        <v>458</v>
      </c>
      <c r="U11" s="277">
        <v>7</v>
      </c>
      <c r="V11" s="752"/>
      <c r="W11" s="753"/>
      <c r="X11" s="753"/>
      <c r="Y11" s="753"/>
      <c r="Z11" s="754"/>
    </row>
    <row r="12" spans="2:26" ht="18" customHeight="1" x14ac:dyDescent="0.25">
      <c r="B12" s="269" t="s">
        <v>459</v>
      </c>
      <c r="C12" s="716" t="s">
        <v>460</v>
      </c>
      <c r="D12" s="719"/>
      <c r="E12" s="270" t="s">
        <v>621</v>
      </c>
      <c r="F12" s="270" t="s">
        <v>455</v>
      </c>
      <c r="G12" s="270">
        <v>19</v>
      </c>
      <c r="H12" s="270">
        <v>7</v>
      </c>
      <c r="I12" s="752"/>
      <c r="J12" s="753"/>
      <c r="K12" s="753"/>
      <c r="L12" s="753"/>
      <c r="M12" s="754"/>
      <c r="O12" s="269" t="s">
        <v>459</v>
      </c>
      <c r="P12" s="716" t="s">
        <v>460</v>
      </c>
      <c r="Q12" s="719"/>
      <c r="R12" s="270" t="s">
        <v>621</v>
      </c>
      <c r="S12" s="270" t="s">
        <v>455</v>
      </c>
      <c r="T12" s="270">
        <v>19</v>
      </c>
      <c r="U12" s="270">
        <v>7</v>
      </c>
      <c r="V12" s="752"/>
      <c r="W12" s="753"/>
      <c r="X12" s="753"/>
      <c r="Y12" s="753"/>
      <c r="Z12" s="754"/>
    </row>
    <row r="13" spans="2:26" ht="18" customHeight="1" x14ac:dyDescent="0.25">
      <c r="B13" s="276" t="s">
        <v>461</v>
      </c>
      <c r="C13" s="747" t="s">
        <v>462</v>
      </c>
      <c r="D13" s="748"/>
      <c r="E13" s="277" t="s">
        <v>621</v>
      </c>
      <c r="F13" s="277" t="s">
        <v>455</v>
      </c>
      <c r="G13" s="277">
        <v>13</v>
      </c>
      <c r="H13" s="277">
        <v>7</v>
      </c>
      <c r="I13" s="752"/>
      <c r="J13" s="753"/>
      <c r="K13" s="753"/>
      <c r="L13" s="753"/>
      <c r="M13" s="754"/>
      <c r="O13" s="276" t="s">
        <v>461</v>
      </c>
      <c r="P13" s="747" t="s">
        <v>462</v>
      </c>
      <c r="Q13" s="748"/>
      <c r="R13" s="277" t="s">
        <v>621</v>
      </c>
      <c r="S13" s="277" t="s">
        <v>455</v>
      </c>
      <c r="T13" s="277">
        <v>13</v>
      </c>
      <c r="U13" s="277">
        <v>7</v>
      </c>
      <c r="V13" s="752"/>
      <c r="W13" s="753"/>
      <c r="X13" s="753"/>
      <c r="Y13" s="753"/>
      <c r="Z13" s="754"/>
    </row>
    <row r="14" spans="2:26" ht="18" customHeight="1" x14ac:dyDescent="0.25">
      <c r="B14" s="269">
        <v>1245</v>
      </c>
      <c r="C14" s="716" t="s">
        <v>463</v>
      </c>
      <c r="D14" s="719"/>
      <c r="E14" s="270" t="s">
        <v>621</v>
      </c>
      <c r="F14" s="270" t="s">
        <v>455</v>
      </c>
      <c r="G14" s="270" t="s">
        <v>464</v>
      </c>
      <c r="H14" s="270">
        <v>7</v>
      </c>
      <c r="I14" s="752"/>
      <c r="J14" s="753"/>
      <c r="K14" s="753"/>
      <c r="L14" s="753"/>
      <c r="M14" s="754"/>
      <c r="O14" s="269">
        <v>1245</v>
      </c>
      <c r="P14" s="716" t="s">
        <v>463</v>
      </c>
      <c r="Q14" s="719"/>
      <c r="R14" s="270" t="s">
        <v>621</v>
      </c>
      <c r="S14" s="270" t="s">
        <v>455</v>
      </c>
      <c r="T14" s="270" t="s">
        <v>464</v>
      </c>
      <c r="U14" s="270">
        <v>7</v>
      </c>
      <c r="V14" s="752"/>
      <c r="W14" s="753"/>
      <c r="X14" s="753"/>
      <c r="Y14" s="753"/>
      <c r="Z14" s="754"/>
    </row>
    <row r="15" spans="2:26" ht="18" customHeight="1" x14ac:dyDescent="0.25">
      <c r="B15" s="276">
        <v>1300</v>
      </c>
      <c r="C15" s="747" t="s">
        <v>204</v>
      </c>
      <c r="D15" s="748"/>
      <c r="E15" s="277" t="s">
        <v>621</v>
      </c>
      <c r="F15" s="277" t="s">
        <v>455</v>
      </c>
      <c r="G15" s="277" t="s">
        <v>458</v>
      </c>
      <c r="H15" s="277">
        <v>7</v>
      </c>
      <c r="I15" s="752"/>
      <c r="J15" s="753"/>
      <c r="K15" s="753"/>
      <c r="L15" s="753"/>
      <c r="M15" s="754"/>
      <c r="O15" s="276">
        <v>1300</v>
      </c>
      <c r="P15" s="747" t="s">
        <v>204</v>
      </c>
      <c r="Q15" s="748"/>
      <c r="R15" s="277" t="s">
        <v>621</v>
      </c>
      <c r="S15" s="277" t="s">
        <v>455</v>
      </c>
      <c r="T15" s="277" t="s">
        <v>458</v>
      </c>
      <c r="U15" s="277">
        <v>7</v>
      </c>
      <c r="V15" s="752"/>
      <c r="W15" s="753"/>
      <c r="X15" s="753"/>
      <c r="Y15" s="753"/>
      <c r="Z15" s="754"/>
    </row>
    <row r="16" spans="2:26" ht="18" customHeight="1" x14ac:dyDescent="0.25">
      <c r="B16" s="269" t="s">
        <v>465</v>
      </c>
      <c r="C16" s="716" t="s">
        <v>460</v>
      </c>
      <c r="D16" s="719"/>
      <c r="E16" s="270" t="s">
        <v>621</v>
      </c>
      <c r="F16" s="270" t="s">
        <v>455</v>
      </c>
      <c r="G16" s="270">
        <v>19</v>
      </c>
      <c r="H16" s="270">
        <v>7</v>
      </c>
      <c r="I16" s="752"/>
      <c r="J16" s="753"/>
      <c r="K16" s="753"/>
      <c r="L16" s="753"/>
      <c r="M16" s="754"/>
      <c r="O16" s="269" t="s">
        <v>465</v>
      </c>
      <c r="P16" s="716" t="s">
        <v>460</v>
      </c>
      <c r="Q16" s="719"/>
      <c r="R16" s="270" t="s">
        <v>621</v>
      </c>
      <c r="S16" s="270" t="s">
        <v>455</v>
      </c>
      <c r="T16" s="270">
        <v>19</v>
      </c>
      <c r="U16" s="270">
        <v>7</v>
      </c>
      <c r="V16" s="752"/>
      <c r="W16" s="753"/>
      <c r="X16" s="753"/>
      <c r="Y16" s="753"/>
      <c r="Z16" s="754"/>
    </row>
    <row r="17" spans="2:26" ht="18" customHeight="1" x14ac:dyDescent="0.25">
      <c r="B17" s="276" t="s">
        <v>466</v>
      </c>
      <c r="C17" s="747" t="s">
        <v>462</v>
      </c>
      <c r="D17" s="748"/>
      <c r="E17" s="277" t="s">
        <v>621</v>
      </c>
      <c r="F17" s="277" t="s">
        <v>455</v>
      </c>
      <c r="G17" s="277">
        <v>13</v>
      </c>
      <c r="H17" s="277">
        <v>7</v>
      </c>
      <c r="I17" s="752"/>
      <c r="J17" s="753"/>
      <c r="K17" s="753"/>
      <c r="L17" s="753"/>
      <c r="M17" s="754"/>
      <c r="O17" s="276" t="s">
        <v>466</v>
      </c>
      <c r="P17" s="747" t="s">
        <v>462</v>
      </c>
      <c r="Q17" s="748"/>
      <c r="R17" s="277" t="s">
        <v>621</v>
      </c>
      <c r="S17" s="277" t="s">
        <v>455</v>
      </c>
      <c r="T17" s="277">
        <v>13</v>
      </c>
      <c r="U17" s="277">
        <v>7</v>
      </c>
      <c r="V17" s="752"/>
      <c r="W17" s="753"/>
      <c r="X17" s="753"/>
      <c r="Y17" s="753"/>
      <c r="Z17" s="754"/>
    </row>
    <row r="18" spans="2:26" ht="18" customHeight="1" x14ac:dyDescent="0.25">
      <c r="B18" s="269">
        <v>1445</v>
      </c>
      <c r="C18" s="716" t="s">
        <v>463</v>
      </c>
      <c r="D18" s="719"/>
      <c r="E18" s="270" t="s">
        <v>621</v>
      </c>
      <c r="F18" s="270" t="s">
        <v>455</v>
      </c>
      <c r="G18" s="270" t="s">
        <v>464</v>
      </c>
      <c r="H18" s="270">
        <v>7</v>
      </c>
      <c r="I18" s="752"/>
      <c r="J18" s="753"/>
      <c r="K18" s="753"/>
      <c r="L18" s="753"/>
      <c r="M18" s="754"/>
      <c r="O18" s="269">
        <v>1445</v>
      </c>
      <c r="P18" s="716" t="s">
        <v>463</v>
      </c>
      <c r="Q18" s="719"/>
      <c r="R18" s="270" t="s">
        <v>621</v>
      </c>
      <c r="S18" s="270" t="s">
        <v>455</v>
      </c>
      <c r="T18" s="270" t="s">
        <v>464</v>
      </c>
      <c r="U18" s="270">
        <v>7</v>
      </c>
      <c r="V18" s="752"/>
      <c r="W18" s="753"/>
      <c r="X18" s="753"/>
      <c r="Y18" s="753"/>
      <c r="Z18" s="754"/>
    </row>
    <row r="19" spans="2:26" ht="18" customHeight="1" x14ac:dyDescent="0.25">
      <c r="B19" s="276">
        <v>1500</v>
      </c>
      <c r="C19" s="747" t="s">
        <v>434</v>
      </c>
      <c r="D19" s="748"/>
      <c r="E19" s="277" t="s">
        <v>621</v>
      </c>
      <c r="F19" s="277" t="s">
        <v>455</v>
      </c>
      <c r="G19" s="277" t="s">
        <v>467</v>
      </c>
      <c r="H19" s="277">
        <v>7</v>
      </c>
      <c r="I19" s="755"/>
      <c r="J19" s="756"/>
      <c r="K19" s="756"/>
      <c r="L19" s="756"/>
      <c r="M19" s="757"/>
      <c r="O19" s="276">
        <v>1500</v>
      </c>
      <c r="P19" s="747" t="s">
        <v>434</v>
      </c>
      <c r="Q19" s="748"/>
      <c r="R19" s="277" t="s">
        <v>621</v>
      </c>
      <c r="S19" s="277" t="s">
        <v>455</v>
      </c>
      <c r="T19" s="277" t="s">
        <v>467</v>
      </c>
      <c r="U19" s="277">
        <v>7</v>
      </c>
      <c r="V19" s="755"/>
      <c r="W19" s="756"/>
      <c r="X19" s="756"/>
      <c r="Y19" s="756"/>
      <c r="Z19" s="757"/>
    </row>
    <row r="20" spans="2:26" ht="18" customHeight="1" x14ac:dyDescent="0.25">
      <c r="B20" s="265" t="s">
        <v>397</v>
      </c>
      <c r="C20" s="701" t="s">
        <v>398</v>
      </c>
      <c r="D20" s="701"/>
      <c r="E20" s="701" t="s">
        <v>399</v>
      </c>
      <c r="F20" s="701"/>
      <c r="G20" s="701"/>
      <c r="H20" s="266"/>
      <c r="I20" s="266" t="s">
        <v>397</v>
      </c>
      <c r="J20" s="701" t="s">
        <v>398</v>
      </c>
      <c r="K20" s="701"/>
      <c r="L20" s="701" t="s">
        <v>399</v>
      </c>
      <c r="M20" s="702"/>
      <c r="O20" s="265" t="s">
        <v>468</v>
      </c>
      <c r="P20" s="701" t="s">
        <v>398</v>
      </c>
      <c r="Q20" s="701"/>
      <c r="R20" s="701" t="s">
        <v>399</v>
      </c>
      <c r="S20" s="701"/>
      <c r="T20" s="701"/>
      <c r="U20" s="266"/>
      <c r="V20" s="266" t="s">
        <v>469</v>
      </c>
      <c r="W20" s="701" t="s">
        <v>398</v>
      </c>
      <c r="X20" s="701"/>
      <c r="Y20" s="701" t="s">
        <v>399</v>
      </c>
      <c r="Z20" s="702"/>
    </row>
    <row r="21" spans="2:26" ht="18" customHeight="1" x14ac:dyDescent="0.25">
      <c r="B21" s="278">
        <v>1</v>
      </c>
      <c r="C21" s="758" t="s">
        <v>412</v>
      </c>
      <c r="D21" s="758"/>
      <c r="E21" s="759">
        <v>273.57499999999999</v>
      </c>
      <c r="F21" s="759"/>
      <c r="G21" s="759"/>
      <c r="H21" s="279"/>
      <c r="I21" s="280" t="s">
        <v>416</v>
      </c>
      <c r="J21" s="758" t="s">
        <v>417</v>
      </c>
      <c r="K21" s="758"/>
      <c r="L21" s="759">
        <v>121.95</v>
      </c>
      <c r="M21" s="760"/>
      <c r="O21" s="278">
        <v>1</v>
      </c>
      <c r="P21" s="758" t="s">
        <v>412</v>
      </c>
      <c r="Q21" s="758"/>
      <c r="R21" s="759">
        <v>273.57499999999999</v>
      </c>
      <c r="S21" s="759"/>
      <c r="T21" s="759"/>
      <c r="U21" s="279"/>
      <c r="V21" s="280" t="s">
        <v>416</v>
      </c>
      <c r="W21" s="758" t="s">
        <v>417</v>
      </c>
      <c r="X21" s="758"/>
      <c r="Y21" s="759">
        <v>121.95</v>
      </c>
      <c r="Z21" s="760"/>
    </row>
    <row r="22" spans="2:26" ht="18" customHeight="1" x14ac:dyDescent="0.25">
      <c r="B22" s="281">
        <v>2</v>
      </c>
      <c r="C22" s="761" t="s">
        <v>470</v>
      </c>
      <c r="D22" s="761"/>
      <c r="E22" s="762">
        <v>355.6</v>
      </c>
      <c r="F22" s="762"/>
      <c r="G22" s="762"/>
      <c r="H22" s="279"/>
      <c r="I22" s="282" t="s">
        <v>416</v>
      </c>
      <c r="J22" s="761" t="s">
        <v>471</v>
      </c>
      <c r="K22" s="761"/>
      <c r="L22" s="762">
        <v>124.85</v>
      </c>
      <c r="M22" s="763"/>
      <c r="O22" s="281">
        <v>2</v>
      </c>
      <c r="P22" s="761" t="s">
        <v>470</v>
      </c>
      <c r="Q22" s="761"/>
      <c r="R22" s="762">
        <v>355.6</v>
      </c>
      <c r="S22" s="762"/>
      <c r="T22" s="762"/>
      <c r="U22" s="279"/>
      <c r="V22" s="282" t="s">
        <v>416</v>
      </c>
      <c r="W22" s="761" t="s">
        <v>471</v>
      </c>
      <c r="X22" s="761"/>
      <c r="Y22" s="762">
        <v>124.85</v>
      </c>
      <c r="Z22" s="763"/>
    </row>
    <row r="23" spans="2:26" ht="18" customHeight="1" x14ac:dyDescent="0.25">
      <c r="B23" s="278">
        <v>3</v>
      </c>
      <c r="C23" s="758" t="s">
        <v>413</v>
      </c>
      <c r="D23" s="758"/>
      <c r="E23" s="759">
        <v>317.64999999999998</v>
      </c>
      <c r="F23" s="759"/>
      <c r="G23" s="759"/>
      <c r="H23" s="279"/>
      <c r="I23" s="280" t="s">
        <v>416</v>
      </c>
      <c r="J23" s="758" t="s">
        <v>472</v>
      </c>
      <c r="K23" s="758"/>
      <c r="L23" s="759">
        <v>118.6</v>
      </c>
      <c r="M23" s="760"/>
      <c r="O23" s="278">
        <v>3</v>
      </c>
      <c r="P23" s="758" t="s">
        <v>413</v>
      </c>
      <c r="Q23" s="758"/>
      <c r="R23" s="759">
        <v>317.64999999999998</v>
      </c>
      <c r="S23" s="759"/>
      <c r="T23" s="759"/>
      <c r="U23" s="279"/>
      <c r="V23" s="280" t="s">
        <v>416</v>
      </c>
      <c r="W23" s="758" t="s">
        <v>472</v>
      </c>
      <c r="X23" s="758"/>
      <c r="Y23" s="759">
        <v>118.6</v>
      </c>
      <c r="Z23" s="760"/>
    </row>
    <row r="24" spans="2:26" ht="18" customHeight="1" x14ac:dyDescent="0.25">
      <c r="B24" s="281">
        <v>4</v>
      </c>
      <c r="C24" s="761" t="s">
        <v>414</v>
      </c>
      <c r="D24" s="761"/>
      <c r="E24" s="762">
        <v>348.67500000000001</v>
      </c>
      <c r="F24" s="762"/>
      <c r="G24" s="762"/>
      <c r="H24" s="279"/>
      <c r="I24" s="282" t="s">
        <v>416</v>
      </c>
      <c r="J24" s="764" t="s">
        <v>473</v>
      </c>
      <c r="K24" s="765"/>
      <c r="L24" s="766">
        <v>119</v>
      </c>
      <c r="M24" s="767"/>
      <c r="O24" s="281">
        <v>4</v>
      </c>
      <c r="P24" s="761" t="s">
        <v>414</v>
      </c>
      <c r="Q24" s="761"/>
      <c r="R24" s="762">
        <v>348.67500000000001</v>
      </c>
      <c r="S24" s="762"/>
      <c r="T24" s="762"/>
      <c r="U24" s="279"/>
      <c r="V24" s="282" t="s">
        <v>416</v>
      </c>
      <c r="W24" s="764" t="s">
        <v>473</v>
      </c>
      <c r="X24" s="765"/>
      <c r="Y24" s="766">
        <v>119</v>
      </c>
      <c r="Z24" s="767"/>
    </row>
    <row r="25" spans="2:26" ht="18" customHeight="1" x14ac:dyDescent="0.25">
      <c r="B25" s="278">
        <v>7</v>
      </c>
      <c r="C25" s="758" t="s">
        <v>652</v>
      </c>
      <c r="D25" s="758"/>
      <c r="E25" s="759">
        <v>255.1</v>
      </c>
      <c r="F25" s="759"/>
      <c r="G25" s="759"/>
      <c r="H25" s="279"/>
      <c r="I25" s="280" t="s">
        <v>416</v>
      </c>
      <c r="J25" s="768" t="s">
        <v>474</v>
      </c>
      <c r="K25" s="769"/>
      <c r="L25" s="770">
        <v>121.25</v>
      </c>
      <c r="M25" s="771"/>
      <c r="O25" s="278">
        <v>7</v>
      </c>
      <c r="P25" s="758" t="s">
        <v>652</v>
      </c>
      <c r="Q25" s="758"/>
      <c r="R25" s="759">
        <v>255.1</v>
      </c>
      <c r="S25" s="759"/>
      <c r="T25" s="759"/>
      <c r="U25" s="279"/>
      <c r="V25" s="280" t="s">
        <v>416</v>
      </c>
      <c r="W25" s="768" t="s">
        <v>474</v>
      </c>
      <c r="X25" s="769"/>
      <c r="Y25" s="770">
        <v>121.25</v>
      </c>
      <c r="Z25" s="771"/>
    </row>
    <row r="26" spans="2:26" ht="18" customHeight="1" x14ac:dyDescent="0.25">
      <c r="B26" s="281">
        <v>9</v>
      </c>
      <c r="C26" s="764" t="s">
        <v>475</v>
      </c>
      <c r="D26" s="765"/>
      <c r="E26" s="762">
        <v>250</v>
      </c>
      <c r="F26" s="762"/>
      <c r="G26" s="762"/>
      <c r="H26" s="279"/>
      <c r="I26" s="282" t="s">
        <v>416</v>
      </c>
      <c r="J26" s="764" t="s">
        <v>476</v>
      </c>
      <c r="K26" s="765"/>
      <c r="L26" s="766">
        <v>119.9</v>
      </c>
      <c r="M26" s="767"/>
      <c r="O26" s="281">
        <v>9</v>
      </c>
      <c r="P26" s="764" t="s">
        <v>475</v>
      </c>
      <c r="Q26" s="765"/>
      <c r="R26" s="762">
        <v>250</v>
      </c>
      <c r="S26" s="762"/>
      <c r="T26" s="762"/>
      <c r="U26" s="279"/>
      <c r="V26" s="282" t="s">
        <v>416</v>
      </c>
      <c r="W26" s="764" t="s">
        <v>476</v>
      </c>
      <c r="X26" s="765"/>
      <c r="Y26" s="766">
        <v>119.9</v>
      </c>
      <c r="Z26" s="767"/>
    </row>
    <row r="27" spans="2:26" ht="18" customHeight="1" x14ac:dyDescent="0.25">
      <c r="B27" s="278">
        <v>12</v>
      </c>
      <c r="C27" s="758" t="s">
        <v>477</v>
      </c>
      <c r="D27" s="758"/>
      <c r="E27" s="759">
        <v>237.9</v>
      </c>
      <c r="F27" s="759"/>
      <c r="G27" s="759"/>
      <c r="H27" s="279"/>
      <c r="I27" s="280" t="s">
        <v>416</v>
      </c>
      <c r="J27" s="758" t="s">
        <v>478</v>
      </c>
      <c r="K27" s="758"/>
      <c r="L27" s="759">
        <v>266.8</v>
      </c>
      <c r="M27" s="760"/>
      <c r="O27" s="278">
        <v>12</v>
      </c>
      <c r="P27" s="758" t="s">
        <v>477</v>
      </c>
      <c r="Q27" s="758"/>
      <c r="R27" s="759">
        <v>237.9</v>
      </c>
      <c r="S27" s="759"/>
      <c r="T27" s="759"/>
      <c r="U27" s="279"/>
      <c r="V27" s="280" t="s">
        <v>416</v>
      </c>
      <c r="W27" s="758" t="s">
        <v>478</v>
      </c>
      <c r="X27" s="758"/>
      <c r="Y27" s="759">
        <v>266.8</v>
      </c>
      <c r="Z27" s="760"/>
    </row>
    <row r="28" spans="2:26" ht="18" customHeight="1" x14ac:dyDescent="0.25">
      <c r="B28" s="281">
        <v>13</v>
      </c>
      <c r="C28" s="764" t="s">
        <v>479</v>
      </c>
      <c r="D28" s="765"/>
      <c r="E28" s="762">
        <v>327.39999999999998</v>
      </c>
      <c r="F28" s="762"/>
      <c r="G28" s="762"/>
      <c r="H28" s="279"/>
      <c r="I28" s="282" t="s">
        <v>416</v>
      </c>
      <c r="J28" s="761" t="s">
        <v>480</v>
      </c>
      <c r="K28" s="761"/>
      <c r="L28" s="762">
        <v>340.2</v>
      </c>
      <c r="M28" s="763"/>
      <c r="O28" s="281">
        <v>13</v>
      </c>
      <c r="P28" s="764" t="s">
        <v>479</v>
      </c>
      <c r="Q28" s="765"/>
      <c r="R28" s="762">
        <v>327.39999999999998</v>
      </c>
      <c r="S28" s="762"/>
      <c r="T28" s="762"/>
      <c r="U28" s="279"/>
      <c r="V28" s="282" t="s">
        <v>416</v>
      </c>
      <c r="W28" s="761" t="s">
        <v>480</v>
      </c>
      <c r="X28" s="761"/>
      <c r="Y28" s="762">
        <v>340.2</v>
      </c>
      <c r="Z28" s="763"/>
    </row>
    <row r="29" spans="2:26" ht="18" customHeight="1" x14ac:dyDescent="0.25">
      <c r="B29" s="278">
        <v>14</v>
      </c>
      <c r="C29" s="768" t="s">
        <v>481</v>
      </c>
      <c r="D29" s="769"/>
      <c r="E29" s="759">
        <v>328.2</v>
      </c>
      <c r="F29" s="759"/>
      <c r="G29" s="759"/>
      <c r="H29" s="279"/>
      <c r="I29" s="280" t="s">
        <v>416</v>
      </c>
      <c r="J29" s="768" t="s">
        <v>482</v>
      </c>
      <c r="K29" s="769"/>
      <c r="L29" s="770">
        <v>121.125</v>
      </c>
      <c r="M29" s="771"/>
      <c r="O29" s="278">
        <v>14</v>
      </c>
      <c r="P29" s="768" t="s">
        <v>481</v>
      </c>
      <c r="Q29" s="769"/>
      <c r="R29" s="759">
        <v>328.2</v>
      </c>
      <c r="S29" s="759"/>
      <c r="T29" s="759"/>
      <c r="U29" s="279"/>
      <c r="V29" s="280" t="s">
        <v>416</v>
      </c>
      <c r="W29" s="768" t="s">
        <v>482</v>
      </c>
      <c r="X29" s="769"/>
      <c r="Y29" s="770">
        <v>121.125</v>
      </c>
      <c r="Z29" s="771"/>
    </row>
    <row r="30" spans="2:26" ht="18" customHeight="1" x14ac:dyDescent="0.25">
      <c r="B30" s="281">
        <v>15</v>
      </c>
      <c r="C30" s="764" t="s">
        <v>483</v>
      </c>
      <c r="D30" s="765"/>
      <c r="E30" s="762">
        <v>262.7</v>
      </c>
      <c r="F30" s="762"/>
      <c r="G30" s="762"/>
      <c r="H30" s="279"/>
      <c r="I30" s="282" t="s">
        <v>416</v>
      </c>
      <c r="J30" s="764" t="s">
        <v>484</v>
      </c>
      <c r="K30" s="765"/>
      <c r="L30" s="766">
        <v>122.8</v>
      </c>
      <c r="M30" s="767"/>
      <c r="O30" s="281">
        <v>15</v>
      </c>
      <c r="P30" s="764" t="s">
        <v>483</v>
      </c>
      <c r="Q30" s="765"/>
      <c r="R30" s="762">
        <v>262.7</v>
      </c>
      <c r="S30" s="762"/>
      <c r="T30" s="762"/>
      <c r="U30" s="279"/>
      <c r="V30" s="282" t="s">
        <v>416</v>
      </c>
      <c r="W30" s="764" t="s">
        <v>484</v>
      </c>
      <c r="X30" s="765"/>
      <c r="Y30" s="766">
        <v>122.8</v>
      </c>
      <c r="Z30" s="767"/>
    </row>
    <row r="31" spans="2:26" ht="18" customHeight="1" x14ac:dyDescent="0.25">
      <c r="B31" s="278">
        <v>16</v>
      </c>
      <c r="C31" s="768" t="s">
        <v>485</v>
      </c>
      <c r="D31" s="769"/>
      <c r="E31" s="759">
        <v>316.39999999999998</v>
      </c>
      <c r="F31" s="759"/>
      <c r="G31" s="759"/>
      <c r="H31" s="279"/>
      <c r="I31" s="280" t="s">
        <v>416</v>
      </c>
      <c r="J31" s="758" t="s">
        <v>486</v>
      </c>
      <c r="K31" s="758"/>
      <c r="L31" s="759">
        <v>119.325</v>
      </c>
      <c r="M31" s="760"/>
      <c r="O31" s="278">
        <v>16</v>
      </c>
      <c r="P31" s="768" t="s">
        <v>485</v>
      </c>
      <c r="Q31" s="769"/>
      <c r="R31" s="759">
        <v>316.39999999999998</v>
      </c>
      <c r="S31" s="759"/>
      <c r="T31" s="759"/>
      <c r="U31" s="279"/>
      <c r="V31" s="280" t="s">
        <v>416</v>
      </c>
      <c r="W31" s="758" t="s">
        <v>486</v>
      </c>
      <c r="X31" s="758"/>
      <c r="Y31" s="759">
        <v>119.325</v>
      </c>
      <c r="Z31" s="760"/>
    </row>
    <row r="32" spans="2:26" ht="18" customHeight="1" x14ac:dyDescent="0.25">
      <c r="B32" s="281">
        <v>17</v>
      </c>
      <c r="C32" s="764" t="s">
        <v>487</v>
      </c>
      <c r="D32" s="765"/>
      <c r="E32" s="762">
        <v>308.64999999999998</v>
      </c>
      <c r="F32" s="762"/>
      <c r="G32" s="762"/>
      <c r="H32" s="279"/>
      <c r="I32" s="282" t="s">
        <v>416</v>
      </c>
      <c r="J32" s="761" t="s">
        <v>488</v>
      </c>
      <c r="K32" s="761"/>
      <c r="L32" s="762">
        <v>122.8</v>
      </c>
      <c r="M32" s="763"/>
      <c r="O32" s="281">
        <v>17</v>
      </c>
      <c r="P32" s="764" t="s">
        <v>487</v>
      </c>
      <c r="Q32" s="765"/>
      <c r="R32" s="762">
        <v>308.64999999999998</v>
      </c>
      <c r="S32" s="762"/>
      <c r="T32" s="762"/>
      <c r="U32" s="279"/>
      <c r="V32" s="282" t="s">
        <v>416</v>
      </c>
      <c r="W32" s="761" t="s">
        <v>488</v>
      </c>
      <c r="X32" s="761"/>
      <c r="Y32" s="762">
        <v>122.8</v>
      </c>
      <c r="Z32" s="763"/>
    </row>
    <row r="33" spans="2:26" ht="18" customHeight="1" x14ac:dyDescent="0.25">
      <c r="B33" s="278">
        <v>18</v>
      </c>
      <c r="C33" s="768" t="s">
        <v>489</v>
      </c>
      <c r="D33" s="769"/>
      <c r="E33" s="759">
        <v>277</v>
      </c>
      <c r="F33" s="759"/>
      <c r="G33" s="759"/>
      <c r="H33" s="279"/>
      <c r="I33" s="280" t="s">
        <v>416</v>
      </c>
      <c r="J33" s="758" t="s">
        <v>490</v>
      </c>
      <c r="K33" s="758"/>
      <c r="L33" s="759">
        <v>123.02500000000001</v>
      </c>
      <c r="M33" s="760"/>
      <c r="O33" s="278">
        <v>18</v>
      </c>
      <c r="P33" s="768" t="s">
        <v>489</v>
      </c>
      <c r="Q33" s="769"/>
      <c r="R33" s="759">
        <v>277</v>
      </c>
      <c r="S33" s="759"/>
      <c r="T33" s="759"/>
      <c r="U33" s="279"/>
      <c r="V33" s="280" t="s">
        <v>416</v>
      </c>
      <c r="W33" s="758" t="s">
        <v>490</v>
      </c>
      <c r="X33" s="758"/>
      <c r="Y33" s="759">
        <v>123.02500000000001</v>
      </c>
      <c r="Z33" s="760"/>
    </row>
    <row r="34" spans="2:26" ht="18" customHeight="1" x14ac:dyDescent="0.25">
      <c r="B34" s="281">
        <v>19</v>
      </c>
      <c r="C34" s="764" t="s">
        <v>491</v>
      </c>
      <c r="D34" s="765"/>
      <c r="E34" s="762">
        <v>311.39999999999998</v>
      </c>
      <c r="F34" s="762"/>
      <c r="G34" s="762"/>
      <c r="H34" s="279"/>
      <c r="I34" s="282" t="s">
        <v>416</v>
      </c>
      <c r="J34" s="761" t="s">
        <v>492</v>
      </c>
      <c r="K34" s="761"/>
      <c r="L34" s="762">
        <v>123.3</v>
      </c>
      <c r="M34" s="763"/>
      <c r="O34" s="281">
        <v>19</v>
      </c>
      <c r="P34" s="764" t="s">
        <v>491</v>
      </c>
      <c r="Q34" s="765"/>
      <c r="R34" s="762">
        <v>311.39999999999998</v>
      </c>
      <c r="S34" s="762"/>
      <c r="T34" s="762"/>
      <c r="U34" s="279"/>
      <c r="V34" s="282" t="s">
        <v>416</v>
      </c>
      <c r="W34" s="761" t="s">
        <v>492</v>
      </c>
      <c r="X34" s="761"/>
      <c r="Y34" s="762">
        <v>123.3</v>
      </c>
      <c r="Z34" s="763"/>
    </row>
    <row r="35" spans="2:26" ht="18" customHeight="1" x14ac:dyDescent="0.25">
      <c r="B35" s="278">
        <v>20</v>
      </c>
      <c r="C35" s="758" t="s">
        <v>415</v>
      </c>
      <c r="D35" s="758"/>
      <c r="E35" s="759">
        <v>281.75</v>
      </c>
      <c r="F35" s="759"/>
      <c r="G35" s="759"/>
      <c r="H35" s="279"/>
      <c r="I35" s="280" t="s">
        <v>416</v>
      </c>
      <c r="J35" s="758" t="s">
        <v>493</v>
      </c>
      <c r="K35" s="758"/>
      <c r="L35" s="759">
        <v>123.5</v>
      </c>
      <c r="M35" s="760"/>
      <c r="O35" s="278">
        <v>20</v>
      </c>
      <c r="P35" s="758" t="s">
        <v>415</v>
      </c>
      <c r="Q35" s="758"/>
      <c r="R35" s="759">
        <v>281.75</v>
      </c>
      <c r="S35" s="759"/>
      <c r="T35" s="759"/>
      <c r="U35" s="279"/>
      <c r="V35" s="280" t="s">
        <v>416</v>
      </c>
      <c r="W35" s="758" t="s">
        <v>493</v>
      </c>
      <c r="X35" s="758"/>
      <c r="Y35" s="759">
        <v>123.5</v>
      </c>
      <c r="Z35" s="760"/>
    </row>
    <row r="36" spans="2:26" x14ac:dyDescent="0.25">
      <c r="B36" s="724" t="s">
        <v>400</v>
      </c>
      <c r="C36" s="722"/>
      <c r="D36" s="722"/>
      <c r="E36" s="722"/>
      <c r="F36" s="722"/>
      <c r="G36" s="722"/>
      <c r="H36" s="722"/>
      <c r="I36" s="722"/>
      <c r="J36" s="722"/>
      <c r="K36" s="722"/>
      <c r="L36" s="722" t="s">
        <v>401</v>
      </c>
      <c r="M36" s="723"/>
      <c r="O36" s="724" t="s">
        <v>400</v>
      </c>
      <c r="P36" s="722"/>
      <c r="Q36" s="722"/>
      <c r="R36" s="722"/>
      <c r="S36" s="722"/>
      <c r="T36" s="722"/>
      <c r="U36" s="722"/>
      <c r="V36" s="722"/>
      <c r="W36" s="722"/>
      <c r="X36" s="722"/>
      <c r="Y36" s="722" t="s">
        <v>401</v>
      </c>
      <c r="Z36" s="723"/>
    </row>
    <row r="37" spans="2:26" ht="24.95" customHeight="1" x14ac:dyDescent="0.25">
      <c r="B37" s="735" t="s">
        <v>437</v>
      </c>
      <c r="C37" s="721"/>
      <c r="D37" s="772" t="s">
        <v>439</v>
      </c>
      <c r="E37" s="773"/>
      <c r="F37" s="774"/>
      <c r="G37" s="721" t="s">
        <v>436</v>
      </c>
      <c r="H37" s="721"/>
      <c r="I37" s="721"/>
      <c r="J37" s="721" t="s">
        <v>402</v>
      </c>
      <c r="K37" s="721"/>
      <c r="L37" s="704" t="s">
        <v>442</v>
      </c>
      <c r="M37" s="705"/>
      <c r="O37" s="735" t="s">
        <v>437</v>
      </c>
      <c r="P37" s="721"/>
      <c r="Q37" s="772" t="s">
        <v>439</v>
      </c>
      <c r="R37" s="773"/>
      <c r="S37" s="774"/>
      <c r="T37" s="721" t="s">
        <v>436</v>
      </c>
      <c r="U37" s="721"/>
      <c r="V37" s="721"/>
      <c r="W37" s="721" t="s">
        <v>402</v>
      </c>
      <c r="X37" s="721"/>
      <c r="Y37" s="704" t="s">
        <v>442</v>
      </c>
      <c r="Z37" s="705"/>
    </row>
    <row r="38" spans="2:26" ht="24.95" customHeight="1" x14ac:dyDescent="0.25">
      <c r="B38" s="735" t="s">
        <v>438</v>
      </c>
      <c r="C38" s="721"/>
      <c r="D38" s="772" t="s">
        <v>440</v>
      </c>
      <c r="E38" s="773"/>
      <c r="F38" s="774"/>
      <c r="G38" s="721" t="s">
        <v>441</v>
      </c>
      <c r="H38" s="721"/>
      <c r="I38" s="721"/>
      <c r="J38" s="721" t="s">
        <v>403</v>
      </c>
      <c r="K38" s="721"/>
      <c r="L38" s="704" t="s">
        <v>404</v>
      </c>
      <c r="M38" s="705"/>
      <c r="O38" s="735" t="s">
        <v>438</v>
      </c>
      <c r="P38" s="721"/>
      <c r="Q38" s="772" t="s">
        <v>440</v>
      </c>
      <c r="R38" s="773"/>
      <c r="S38" s="774"/>
      <c r="T38" s="721" t="s">
        <v>441</v>
      </c>
      <c r="U38" s="721"/>
      <c r="V38" s="721"/>
      <c r="W38" s="721" t="s">
        <v>403</v>
      </c>
      <c r="X38" s="721"/>
      <c r="Y38" s="704" t="s">
        <v>404</v>
      </c>
      <c r="Z38" s="705"/>
    </row>
    <row r="39" spans="2:26" ht="30" customHeight="1" x14ac:dyDescent="0.25">
      <c r="B39" s="735" t="s">
        <v>405</v>
      </c>
      <c r="C39" s="721"/>
      <c r="D39" s="721"/>
      <c r="E39" s="721"/>
      <c r="F39" s="721"/>
      <c r="G39" s="721"/>
      <c r="H39" s="721"/>
      <c r="I39" s="721"/>
      <c r="J39" s="721"/>
      <c r="K39" s="721"/>
      <c r="L39" s="721"/>
      <c r="M39" s="736"/>
      <c r="O39" s="735" t="s">
        <v>405</v>
      </c>
      <c r="P39" s="721"/>
      <c r="Q39" s="721"/>
      <c r="R39" s="721"/>
      <c r="S39" s="721"/>
      <c r="T39" s="721"/>
      <c r="U39" s="721"/>
      <c r="V39" s="721"/>
      <c r="W39" s="721"/>
      <c r="X39" s="721"/>
      <c r="Y39" s="721"/>
      <c r="Z39" s="736"/>
    </row>
    <row r="40" spans="2:26" ht="30" customHeight="1" x14ac:dyDescent="0.25">
      <c r="B40" s="735" t="s">
        <v>405</v>
      </c>
      <c r="C40" s="721"/>
      <c r="D40" s="721"/>
      <c r="E40" s="721"/>
      <c r="F40" s="721"/>
      <c r="G40" s="721"/>
      <c r="H40" s="721"/>
      <c r="I40" s="721"/>
      <c r="J40" s="721"/>
      <c r="K40" s="721"/>
      <c r="L40" s="721"/>
      <c r="M40" s="736"/>
      <c r="O40" s="735" t="s">
        <v>405</v>
      </c>
      <c r="P40" s="721"/>
      <c r="Q40" s="721"/>
      <c r="R40" s="721"/>
      <c r="S40" s="721"/>
      <c r="T40" s="721"/>
      <c r="U40" s="721"/>
      <c r="V40" s="721"/>
      <c r="W40" s="721"/>
      <c r="X40" s="721"/>
      <c r="Y40" s="721"/>
      <c r="Z40" s="736"/>
    </row>
    <row r="41" spans="2:26" x14ac:dyDescent="0.25">
      <c r="B41" s="267" t="s">
        <v>406</v>
      </c>
      <c r="C41" s="268" t="s">
        <v>324</v>
      </c>
      <c r="D41" s="268" t="s">
        <v>323</v>
      </c>
      <c r="E41" s="701" t="s">
        <v>494</v>
      </c>
      <c r="F41" s="701"/>
      <c r="G41" s="701"/>
      <c r="H41" s="775" t="s">
        <v>495</v>
      </c>
      <c r="I41" s="776"/>
      <c r="J41" s="776"/>
      <c r="K41" s="701" t="s">
        <v>411</v>
      </c>
      <c r="L41" s="701"/>
      <c r="M41" s="702"/>
      <c r="O41" s="267" t="s">
        <v>406</v>
      </c>
      <c r="P41" s="268" t="s">
        <v>324</v>
      </c>
      <c r="Q41" s="268" t="s">
        <v>323</v>
      </c>
      <c r="R41" s="701" t="s">
        <v>494</v>
      </c>
      <c r="S41" s="701"/>
      <c r="T41" s="701"/>
      <c r="U41" s="775" t="s">
        <v>495</v>
      </c>
      <c r="V41" s="776"/>
      <c r="W41" s="776"/>
      <c r="X41" s="701" t="s">
        <v>411</v>
      </c>
      <c r="Y41" s="701"/>
      <c r="Z41" s="702"/>
    </row>
    <row r="42" spans="2:26" ht="24.95" customHeight="1" x14ac:dyDescent="0.25">
      <c r="B42" s="269" t="s">
        <v>119</v>
      </c>
      <c r="C42" s="270"/>
      <c r="D42" s="270"/>
      <c r="E42" s="704"/>
      <c r="F42" s="704"/>
      <c r="G42" s="704"/>
      <c r="H42" s="716"/>
      <c r="I42" s="745"/>
      <c r="J42" s="719"/>
      <c r="K42" s="704"/>
      <c r="L42" s="704"/>
      <c r="M42" s="705"/>
      <c r="O42" s="269" t="s">
        <v>119</v>
      </c>
      <c r="P42" s="270"/>
      <c r="Q42" s="270"/>
      <c r="R42" s="704"/>
      <c r="S42" s="704"/>
      <c r="T42" s="704"/>
      <c r="U42" s="716"/>
      <c r="V42" s="745"/>
      <c r="W42" s="719"/>
      <c r="X42" s="704"/>
      <c r="Y42" s="704"/>
      <c r="Z42" s="705"/>
    </row>
    <row r="43" spans="2:26" ht="24.95" customHeight="1" x14ac:dyDescent="0.25">
      <c r="B43" s="269" t="s">
        <v>496</v>
      </c>
      <c r="C43" s="270"/>
      <c r="D43" s="270"/>
      <c r="E43" s="704"/>
      <c r="F43" s="704"/>
      <c r="G43" s="704"/>
      <c r="H43" s="716"/>
      <c r="I43" s="745"/>
      <c r="J43" s="719"/>
      <c r="K43" s="704"/>
      <c r="L43" s="704"/>
      <c r="M43" s="705"/>
      <c r="O43" s="269" t="s">
        <v>496</v>
      </c>
      <c r="P43" s="270"/>
      <c r="Q43" s="270"/>
      <c r="R43" s="704"/>
      <c r="S43" s="704"/>
      <c r="T43" s="704"/>
      <c r="U43" s="716"/>
      <c r="V43" s="745"/>
      <c r="W43" s="719"/>
      <c r="X43" s="704"/>
      <c r="Y43" s="704"/>
      <c r="Z43" s="705"/>
    </row>
    <row r="44" spans="2:26" ht="15.75" thickBot="1" x14ac:dyDescent="0.3">
      <c r="B44" s="725" t="s">
        <v>276</v>
      </c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2"/>
      <c r="O44" s="725" t="s">
        <v>276</v>
      </c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2"/>
    </row>
    <row r="45" spans="2:26" ht="15" customHeight="1" thickBot="1" x14ac:dyDescent="0.3">
      <c r="B45" s="780" t="s">
        <v>497</v>
      </c>
      <c r="C45" s="781"/>
      <c r="D45" s="782"/>
      <c r="E45" s="727"/>
      <c r="F45" s="727"/>
      <c r="G45" s="727"/>
      <c r="H45" s="727"/>
      <c r="I45" s="727"/>
      <c r="J45" s="727"/>
      <c r="K45" s="727"/>
      <c r="L45" s="727"/>
      <c r="M45" s="728"/>
      <c r="O45" s="780" t="s">
        <v>497</v>
      </c>
      <c r="P45" s="781"/>
      <c r="Q45" s="782"/>
      <c r="R45" s="727"/>
      <c r="S45" s="727"/>
      <c r="T45" s="727"/>
      <c r="U45" s="727"/>
      <c r="V45" s="727"/>
      <c r="W45" s="727"/>
      <c r="X45" s="727"/>
      <c r="Y45" s="727"/>
      <c r="Z45" s="728"/>
    </row>
    <row r="46" spans="2:26" ht="15" customHeight="1" x14ac:dyDescent="0.25">
      <c r="B46" s="283" t="s">
        <v>498</v>
      </c>
      <c r="C46" s="680" t="s">
        <v>499</v>
      </c>
      <c r="D46" s="681"/>
      <c r="E46" s="730"/>
      <c r="F46" s="730"/>
      <c r="G46" s="730"/>
      <c r="H46" s="730"/>
      <c r="I46" s="730"/>
      <c r="J46" s="730"/>
      <c r="K46" s="730"/>
      <c r="L46" s="730"/>
      <c r="M46" s="731"/>
      <c r="O46" s="283" t="s">
        <v>498</v>
      </c>
      <c r="P46" s="680" t="s">
        <v>499</v>
      </c>
      <c r="Q46" s="681"/>
      <c r="R46" s="730"/>
      <c r="S46" s="730"/>
      <c r="T46" s="730"/>
      <c r="U46" s="730"/>
      <c r="V46" s="730"/>
      <c r="W46" s="730"/>
      <c r="X46" s="730"/>
      <c r="Y46" s="730"/>
      <c r="Z46" s="731"/>
    </row>
    <row r="47" spans="2:26" ht="15" customHeight="1" x14ac:dyDescent="0.25">
      <c r="B47" s="777"/>
      <c r="C47" s="778" t="s">
        <v>500</v>
      </c>
      <c r="D47" s="779"/>
      <c r="E47" s="730"/>
      <c r="F47" s="730"/>
      <c r="G47" s="730"/>
      <c r="H47" s="730"/>
      <c r="I47" s="730"/>
      <c r="J47" s="730"/>
      <c r="K47" s="730"/>
      <c r="L47" s="730"/>
      <c r="M47" s="731"/>
      <c r="O47" s="777"/>
      <c r="P47" s="778" t="s">
        <v>500</v>
      </c>
      <c r="Q47" s="779"/>
      <c r="R47" s="730"/>
      <c r="S47" s="730"/>
      <c r="T47" s="730"/>
      <c r="U47" s="730"/>
      <c r="V47" s="730"/>
      <c r="W47" s="730"/>
      <c r="X47" s="730"/>
      <c r="Y47" s="730"/>
      <c r="Z47" s="731"/>
    </row>
    <row r="48" spans="2:26" ht="15" customHeight="1" x14ac:dyDescent="0.25">
      <c r="B48" s="777"/>
      <c r="C48" s="778" t="s">
        <v>501</v>
      </c>
      <c r="D48" s="779"/>
      <c r="E48" s="730"/>
      <c r="F48" s="730"/>
      <c r="G48" s="730"/>
      <c r="H48" s="730"/>
      <c r="I48" s="730"/>
      <c r="J48" s="730"/>
      <c r="K48" s="730"/>
      <c r="L48" s="730"/>
      <c r="M48" s="731"/>
      <c r="O48" s="777"/>
      <c r="P48" s="778" t="s">
        <v>501</v>
      </c>
      <c r="Q48" s="779"/>
      <c r="R48" s="730"/>
      <c r="S48" s="730"/>
      <c r="T48" s="730"/>
      <c r="U48" s="730"/>
      <c r="V48" s="730"/>
      <c r="W48" s="730"/>
      <c r="X48" s="730"/>
      <c r="Y48" s="730"/>
      <c r="Z48" s="731"/>
    </row>
    <row r="49" spans="2:26" ht="15" customHeight="1" x14ac:dyDescent="0.25">
      <c r="B49" s="777"/>
      <c r="C49" s="778"/>
      <c r="D49" s="779"/>
      <c r="E49" s="730"/>
      <c r="F49" s="730"/>
      <c r="G49" s="730"/>
      <c r="H49" s="730"/>
      <c r="I49" s="730"/>
      <c r="J49" s="730"/>
      <c r="K49" s="730"/>
      <c r="L49" s="730"/>
      <c r="M49" s="731"/>
      <c r="O49" s="777"/>
      <c r="P49" s="778"/>
      <c r="Q49" s="779"/>
      <c r="R49" s="730"/>
      <c r="S49" s="730"/>
      <c r="T49" s="730"/>
      <c r="U49" s="730"/>
      <c r="V49" s="730"/>
      <c r="W49" s="730"/>
      <c r="X49" s="730"/>
      <c r="Y49" s="730"/>
      <c r="Z49" s="731"/>
    </row>
    <row r="50" spans="2:26" ht="15" customHeight="1" x14ac:dyDescent="0.25">
      <c r="B50" s="284" t="s">
        <v>502</v>
      </c>
      <c r="C50" s="778" t="s">
        <v>503</v>
      </c>
      <c r="D50" s="779"/>
      <c r="E50" s="730"/>
      <c r="F50" s="730"/>
      <c r="G50" s="730"/>
      <c r="H50" s="730"/>
      <c r="I50" s="730"/>
      <c r="J50" s="730"/>
      <c r="K50" s="730"/>
      <c r="L50" s="730"/>
      <c r="M50" s="731"/>
      <c r="O50" s="284" t="s">
        <v>502</v>
      </c>
      <c r="P50" s="778" t="s">
        <v>503</v>
      </c>
      <c r="Q50" s="779"/>
      <c r="R50" s="730"/>
      <c r="S50" s="730"/>
      <c r="T50" s="730"/>
      <c r="U50" s="730"/>
      <c r="V50" s="730"/>
      <c r="W50" s="730"/>
      <c r="X50" s="730"/>
      <c r="Y50" s="730"/>
      <c r="Z50" s="731"/>
    </row>
    <row r="51" spans="2:26" ht="15" customHeight="1" x14ac:dyDescent="0.25">
      <c r="B51" s="787"/>
      <c r="C51" s="778" t="s">
        <v>504</v>
      </c>
      <c r="D51" s="779"/>
      <c r="E51" s="730"/>
      <c r="F51" s="730"/>
      <c r="G51" s="730"/>
      <c r="H51" s="730"/>
      <c r="I51" s="730"/>
      <c r="J51" s="730"/>
      <c r="K51" s="730"/>
      <c r="L51" s="730"/>
      <c r="M51" s="731"/>
      <c r="O51" s="787"/>
      <c r="P51" s="778" t="s">
        <v>504</v>
      </c>
      <c r="Q51" s="779"/>
      <c r="R51" s="730"/>
      <c r="S51" s="730"/>
      <c r="T51" s="730"/>
      <c r="U51" s="730"/>
      <c r="V51" s="730"/>
      <c r="W51" s="730"/>
      <c r="X51" s="730"/>
      <c r="Y51" s="730"/>
      <c r="Z51" s="731"/>
    </row>
    <row r="52" spans="2:26" ht="15" customHeight="1" x14ac:dyDescent="0.25">
      <c r="B52" s="788"/>
      <c r="C52" s="778" t="s">
        <v>505</v>
      </c>
      <c r="D52" s="779"/>
      <c r="E52" s="730"/>
      <c r="F52" s="730"/>
      <c r="G52" s="730"/>
      <c r="H52" s="730"/>
      <c r="I52" s="730"/>
      <c r="J52" s="730"/>
      <c r="K52" s="730"/>
      <c r="L52" s="730"/>
      <c r="M52" s="731"/>
      <c r="O52" s="788"/>
      <c r="P52" s="778" t="s">
        <v>505</v>
      </c>
      <c r="Q52" s="779"/>
      <c r="R52" s="730"/>
      <c r="S52" s="730"/>
      <c r="T52" s="730"/>
      <c r="U52" s="730"/>
      <c r="V52" s="730"/>
      <c r="W52" s="730"/>
      <c r="X52" s="730"/>
      <c r="Y52" s="730"/>
      <c r="Z52" s="731"/>
    </row>
    <row r="53" spans="2:26" ht="15" customHeight="1" x14ac:dyDescent="0.25">
      <c r="B53" s="788"/>
      <c r="C53" s="778" t="s">
        <v>203</v>
      </c>
      <c r="D53" s="779"/>
      <c r="E53" s="730"/>
      <c r="F53" s="730"/>
      <c r="G53" s="730"/>
      <c r="H53" s="730"/>
      <c r="I53" s="730"/>
      <c r="J53" s="730"/>
      <c r="K53" s="730"/>
      <c r="L53" s="730"/>
      <c r="M53" s="731"/>
      <c r="O53" s="788"/>
      <c r="P53" s="778" t="s">
        <v>203</v>
      </c>
      <c r="Q53" s="779"/>
      <c r="R53" s="730"/>
      <c r="S53" s="730"/>
      <c r="T53" s="730"/>
      <c r="U53" s="730"/>
      <c r="V53" s="730"/>
      <c r="W53" s="730"/>
      <c r="X53" s="730"/>
      <c r="Y53" s="730"/>
      <c r="Z53" s="731"/>
    </row>
    <row r="54" spans="2:26" ht="15" customHeight="1" thickBot="1" x14ac:dyDescent="0.3">
      <c r="B54" s="789"/>
      <c r="C54" s="783"/>
      <c r="D54" s="784"/>
      <c r="E54" s="730"/>
      <c r="F54" s="730"/>
      <c r="G54" s="730"/>
      <c r="H54" s="730"/>
      <c r="I54" s="730"/>
      <c r="J54" s="730"/>
      <c r="K54" s="730"/>
      <c r="L54" s="730"/>
      <c r="M54" s="731"/>
      <c r="O54" s="789"/>
      <c r="P54" s="783"/>
      <c r="Q54" s="784"/>
      <c r="R54" s="730"/>
      <c r="S54" s="730"/>
      <c r="T54" s="730"/>
      <c r="U54" s="730"/>
      <c r="V54" s="730"/>
      <c r="W54" s="730"/>
      <c r="X54" s="730"/>
      <c r="Y54" s="730"/>
      <c r="Z54" s="731"/>
    </row>
    <row r="55" spans="2:26" ht="25.5" customHeight="1" thickBot="1" x14ac:dyDescent="0.3">
      <c r="B55" s="785" t="s">
        <v>506</v>
      </c>
      <c r="C55" s="786"/>
      <c r="D55" s="786"/>
      <c r="E55" s="733"/>
      <c r="F55" s="733"/>
      <c r="G55" s="733"/>
      <c r="H55" s="733"/>
      <c r="I55" s="733"/>
      <c r="J55" s="733"/>
      <c r="K55" s="733"/>
      <c r="L55" s="733"/>
      <c r="M55" s="734"/>
      <c r="O55" s="785" t="s">
        <v>506</v>
      </c>
      <c r="P55" s="786"/>
      <c r="Q55" s="786"/>
      <c r="R55" s="733"/>
      <c r="S55" s="733"/>
      <c r="T55" s="733"/>
      <c r="U55" s="733"/>
      <c r="V55" s="733"/>
      <c r="W55" s="733"/>
      <c r="X55" s="733"/>
      <c r="Y55" s="733"/>
      <c r="Z55" s="734"/>
    </row>
  </sheetData>
  <mergeCells count="260">
    <mergeCell ref="B55:D55"/>
    <mergeCell ref="O55:Q55"/>
    <mergeCell ref="C50:D50"/>
    <mergeCell ref="P50:Q50"/>
    <mergeCell ref="B51:B54"/>
    <mergeCell ref="C51:D51"/>
    <mergeCell ref="O51:O54"/>
    <mergeCell ref="P51:Q51"/>
    <mergeCell ref="C52:D52"/>
    <mergeCell ref="P52:Q52"/>
    <mergeCell ref="C53:D53"/>
    <mergeCell ref="P53:Q53"/>
    <mergeCell ref="E43:G43"/>
    <mergeCell ref="H43:J43"/>
    <mergeCell ref="K43:M43"/>
    <mergeCell ref="O47:O49"/>
    <mergeCell ref="P47:Q47"/>
    <mergeCell ref="C48:D48"/>
    <mergeCell ref="P48:Q48"/>
    <mergeCell ref="C49:D49"/>
    <mergeCell ref="P49:Q49"/>
    <mergeCell ref="B44:M44"/>
    <mergeCell ref="O44:Z44"/>
    <mergeCell ref="B45:D45"/>
    <mergeCell ref="E45:M55"/>
    <mergeCell ref="O45:Q45"/>
    <mergeCell ref="R45:Z55"/>
    <mergeCell ref="C46:D46"/>
    <mergeCell ref="P46:Q46"/>
    <mergeCell ref="B47:B49"/>
    <mergeCell ref="R43:T43"/>
    <mergeCell ref="U43:W43"/>
    <mergeCell ref="X43:Z43"/>
    <mergeCell ref="C47:D47"/>
    <mergeCell ref="C54:D54"/>
    <mergeCell ref="P54:Q54"/>
    <mergeCell ref="E42:G42"/>
    <mergeCell ref="H42:J42"/>
    <mergeCell ref="K42:M42"/>
    <mergeCell ref="R42:T42"/>
    <mergeCell ref="U42:W42"/>
    <mergeCell ref="X42:Z42"/>
    <mergeCell ref="B40:M40"/>
    <mergeCell ref="O40:Z40"/>
    <mergeCell ref="E41:G41"/>
    <mergeCell ref="H41:J41"/>
    <mergeCell ref="K41:M41"/>
    <mergeCell ref="R41:T41"/>
    <mergeCell ref="U41:W41"/>
    <mergeCell ref="X41:Z41"/>
    <mergeCell ref="Q38:S38"/>
    <mergeCell ref="T38:V38"/>
    <mergeCell ref="W38:X38"/>
    <mergeCell ref="Y38:Z38"/>
    <mergeCell ref="B39:M39"/>
    <mergeCell ref="O39:Z39"/>
    <mergeCell ref="Q37:S37"/>
    <mergeCell ref="T37:V37"/>
    <mergeCell ref="W37:X37"/>
    <mergeCell ref="Y37:Z37"/>
    <mergeCell ref="B38:C38"/>
    <mergeCell ref="D38:F38"/>
    <mergeCell ref="G38:I38"/>
    <mergeCell ref="J38:K38"/>
    <mergeCell ref="L38:M38"/>
    <mergeCell ref="O38:P38"/>
    <mergeCell ref="B37:C37"/>
    <mergeCell ref="D37:F37"/>
    <mergeCell ref="G37:I37"/>
    <mergeCell ref="J37:K37"/>
    <mergeCell ref="L37:M37"/>
    <mergeCell ref="O37:P37"/>
    <mergeCell ref="W35:X35"/>
    <mergeCell ref="Y35:Z35"/>
    <mergeCell ref="B36:K36"/>
    <mergeCell ref="L36:M36"/>
    <mergeCell ref="O36:X36"/>
    <mergeCell ref="Y36:Z36"/>
    <mergeCell ref="C35:D35"/>
    <mergeCell ref="E35:G35"/>
    <mergeCell ref="J35:K35"/>
    <mergeCell ref="L35:M35"/>
    <mergeCell ref="P35:Q35"/>
    <mergeCell ref="R35:T35"/>
    <mergeCell ref="W33:X33"/>
    <mergeCell ref="Y33:Z33"/>
    <mergeCell ref="C34:D34"/>
    <mergeCell ref="E34:G34"/>
    <mergeCell ref="J34:K34"/>
    <mergeCell ref="L34:M34"/>
    <mergeCell ref="P34:Q34"/>
    <mergeCell ref="R34:T34"/>
    <mergeCell ref="W34:X34"/>
    <mergeCell ref="Y34:Z34"/>
    <mergeCell ref="C33:D33"/>
    <mergeCell ref="E33:G33"/>
    <mergeCell ref="J33:K33"/>
    <mergeCell ref="L33:M33"/>
    <mergeCell ref="P33:Q33"/>
    <mergeCell ref="R33:T33"/>
    <mergeCell ref="W31:X31"/>
    <mergeCell ref="Y31:Z31"/>
    <mergeCell ref="C32:D32"/>
    <mergeCell ref="E32:G32"/>
    <mergeCell ref="J32:K32"/>
    <mergeCell ref="L32:M32"/>
    <mergeCell ref="P32:Q32"/>
    <mergeCell ref="R32:T32"/>
    <mergeCell ref="W32:X32"/>
    <mergeCell ref="Y32:Z32"/>
    <mergeCell ref="C31:D31"/>
    <mergeCell ref="E31:G31"/>
    <mergeCell ref="J31:K31"/>
    <mergeCell ref="L31:M31"/>
    <mergeCell ref="P31:Q31"/>
    <mergeCell ref="R31:T31"/>
    <mergeCell ref="W29:X29"/>
    <mergeCell ref="Y29:Z29"/>
    <mergeCell ref="C30:D30"/>
    <mergeCell ref="E30:G30"/>
    <mergeCell ref="J30:K30"/>
    <mergeCell ref="L30:M30"/>
    <mergeCell ref="P30:Q30"/>
    <mergeCell ref="R30:T30"/>
    <mergeCell ref="W30:X30"/>
    <mergeCell ref="Y30:Z30"/>
    <mergeCell ref="C29:D29"/>
    <mergeCell ref="E29:G29"/>
    <mergeCell ref="J29:K29"/>
    <mergeCell ref="L29:M29"/>
    <mergeCell ref="P29:Q29"/>
    <mergeCell ref="R29:T29"/>
    <mergeCell ref="W27:X27"/>
    <mergeCell ref="Y27:Z27"/>
    <mergeCell ref="C28:D28"/>
    <mergeCell ref="E28:G28"/>
    <mergeCell ref="J28:K28"/>
    <mergeCell ref="L28:M28"/>
    <mergeCell ref="P28:Q28"/>
    <mergeCell ref="R28:T28"/>
    <mergeCell ref="W28:X28"/>
    <mergeCell ref="Y28:Z28"/>
    <mergeCell ref="C27:D27"/>
    <mergeCell ref="E27:G27"/>
    <mergeCell ref="J27:K27"/>
    <mergeCell ref="L27:M27"/>
    <mergeCell ref="P27:Q27"/>
    <mergeCell ref="R27:T27"/>
    <mergeCell ref="W25:X25"/>
    <mergeCell ref="Y25:Z25"/>
    <mergeCell ref="C26:D26"/>
    <mergeCell ref="E26:G26"/>
    <mergeCell ref="J26:K26"/>
    <mergeCell ref="L26:M26"/>
    <mergeCell ref="P26:Q26"/>
    <mergeCell ref="R26:T26"/>
    <mergeCell ref="W26:X26"/>
    <mergeCell ref="Y26:Z26"/>
    <mergeCell ref="C25:D25"/>
    <mergeCell ref="E25:G25"/>
    <mergeCell ref="J25:K25"/>
    <mergeCell ref="L25:M25"/>
    <mergeCell ref="P25:Q25"/>
    <mergeCell ref="R25:T25"/>
    <mergeCell ref="C24:D24"/>
    <mergeCell ref="E24:G24"/>
    <mergeCell ref="J24:K24"/>
    <mergeCell ref="L24:M24"/>
    <mergeCell ref="P24:Q24"/>
    <mergeCell ref="R24:T24"/>
    <mergeCell ref="W24:X24"/>
    <mergeCell ref="Y24:Z24"/>
    <mergeCell ref="C23:D23"/>
    <mergeCell ref="E23:G23"/>
    <mergeCell ref="J23:K23"/>
    <mergeCell ref="L23:M23"/>
    <mergeCell ref="P23:Q23"/>
    <mergeCell ref="R23:T23"/>
    <mergeCell ref="C22:D22"/>
    <mergeCell ref="E22:G22"/>
    <mergeCell ref="J22:K22"/>
    <mergeCell ref="L22:M22"/>
    <mergeCell ref="P22:Q22"/>
    <mergeCell ref="R22:T22"/>
    <mergeCell ref="W22:X22"/>
    <mergeCell ref="Y22:Z22"/>
    <mergeCell ref="W23:X23"/>
    <mergeCell ref="Y23:Z23"/>
    <mergeCell ref="C21:D21"/>
    <mergeCell ref="E21:G21"/>
    <mergeCell ref="J21:K21"/>
    <mergeCell ref="L21:M21"/>
    <mergeCell ref="P21:Q21"/>
    <mergeCell ref="R21:T21"/>
    <mergeCell ref="W21:X21"/>
    <mergeCell ref="Y21:Z21"/>
    <mergeCell ref="C20:D20"/>
    <mergeCell ref="E20:G20"/>
    <mergeCell ref="J20:K20"/>
    <mergeCell ref="L20:M20"/>
    <mergeCell ref="P20:Q20"/>
    <mergeCell ref="C7:D7"/>
    <mergeCell ref="I7:M7"/>
    <mergeCell ref="P7:Q7"/>
    <mergeCell ref="R20:T20"/>
    <mergeCell ref="W20:X20"/>
    <mergeCell ref="Y20:Z20"/>
    <mergeCell ref="V7:Z7"/>
    <mergeCell ref="C8:D8"/>
    <mergeCell ref="I8:M19"/>
    <mergeCell ref="P8:Q8"/>
    <mergeCell ref="V8:Z19"/>
    <mergeCell ref="C9:D9"/>
    <mergeCell ref="P9:Q9"/>
    <mergeCell ref="C13:D13"/>
    <mergeCell ref="P13:Q13"/>
    <mergeCell ref="C14:D14"/>
    <mergeCell ref="P14:Q14"/>
    <mergeCell ref="C15:D15"/>
    <mergeCell ref="P15:Q15"/>
    <mergeCell ref="C10:D10"/>
    <mergeCell ref="P10:Q10"/>
    <mergeCell ref="C11:D11"/>
    <mergeCell ref="P11:Q11"/>
    <mergeCell ref="C12:D12"/>
    <mergeCell ref="P12:Q12"/>
    <mergeCell ref="C19:D19"/>
    <mergeCell ref="P19:Q19"/>
    <mergeCell ref="C16:D16"/>
    <mergeCell ref="P16:Q16"/>
    <mergeCell ref="C17:D17"/>
    <mergeCell ref="P17:Q17"/>
    <mergeCell ref="C18:D18"/>
    <mergeCell ref="P18:Q18"/>
    <mergeCell ref="D6:F6"/>
    <mergeCell ref="G6:J6"/>
    <mergeCell ref="L6:M6"/>
    <mergeCell ref="Q6:S6"/>
    <mergeCell ref="T6:W6"/>
    <mergeCell ref="Y6:Z6"/>
    <mergeCell ref="D5:F5"/>
    <mergeCell ref="G5:J5"/>
    <mergeCell ref="L5:M5"/>
    <mergeCell ref="Q5:S5"/>
    <mergeCell ref="T5:W5"/>
    <mergeCell ref="Y5:Z5"/>
    <mergeCell ref="D4:F4"/>
    <mergeCell ref="G4:J4"/>
    <mergeCell ref="L4:M4"/>
    <mergeCell ref="Q4:S4"/>
    <mergeCell ref="T4:W4"/>
    <mergeCell ref="Y4:Z4"/>
    <mergeCell ref="B2:M2"/>
    <mergeCell ref="O2:Z2"/>
    <mergeCell ref="B3:D3"/>
    <mergeCell ref="E3:H3"/>
    <mergeCell ref="I3:M3"/>
    <mergeCell ref="O3:Q3"/>
    <mergeCell ref="R3:U3"/>
    <mergeCell ref="V3:Z3"/>
  </mergeCells>
  <pageMargins left="0.7" right="0.7" top="0.75" bottom="0.75" header="0.3" footer="0.3"/>
  <pageSetup scale="4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pageSetUpPr fitToPage="1"/>
  </sheetPr>
  <dimension ref="B1:Z55"/>
  <sheetViews>
    <sheetView topLeftCell="A22" zoomScaleNormal="100" workbookViewId="0">
      <selection activeCell="N16" sqref="N16"/>
    </sheetView>
  </sheetViews>
  <sheetFormatPr defaultColWidth="8.85546875" defaultRowHeight="15" x14ac:dyDescent="0.25"/>
  <cols>
    <col min="1" max="1" width="1.42578125" customWidth="1"/>
    <col min="2" max="2" width="11" customWidth="1"/>
    <col min="3" max="4" width="10.42578125" customWidth="1"/>
    <col min="5" max="8" width="7.42578125" customWidth="1"/>
    <col min="10" max="13" width="10.42578125" customWidth="1"/>
    <col min="14" max="14" width="40.42578125" customWidth="1"/>
    <col min="15" max="15" width="11.85546875" customWidth="1"/>
    <col min="16" max="17" width="10.42578125" customWidth="1"/>
    <col min="18" max="21" width="7.42578125" customWidth="1"/>
    <col min="23" max="26" width="10.42578125" customWidth="1"/>
  </cols>
  <sheetData>
    <row r="1" spans="2:26" ht="6.75" customHeight="1" thickBot="1" x14ac:dyDescent="0.3"/>
    <row r="2" spans="2:26" ht="67.5" customHeight="1" x14ac:dyDescent="0.25">
      <c r="B2" s="695" t="s">
        <v>620</v>
      </c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7"/>
      <c r="O2" s="695" t="s">
        <v>620</v>
      </c>
      <c r="P2" s="696"/>
      <c r="Q2" s="696"/>
      <c r="R2" s="696"/>
      <c r="S2" s="696"/>
      <c r="T2" s="696"/>
      <c r="U2" s="696"/>
      <c r="V2" s="696"/>
      <c r="W2" s="696"/>
      <c r="X2" s="696"/>
      <c r="Y2" s="696"/>
      <c r="Z2" s="697"/>
    </row>
    <row r="3" spans="2:26" ht="23.25" customHeight="1" x14ac:dyDescent="0.25">
      <c r="B3" s="740" t="s">
        <v>388</v>
      </c>
      <c r="C3" s="741"/>
      <c r="D3" s="741"/>
      <c r="E3" s="742" t="s">
        <v>192</v>
      </c>
      <c r="F3" s="743"/>
      <c r="G3" s="743"/>
      <c r="H3" s="743"/>
      <c r="I3" s="742" t="s">
        <v>443</v>
      </c>
      <c r="J3" s="743"/>
      <c r="K3" s="743"/>
      <c r="L3" s="743"/>
      <c r="M3" s="744"/>
      <c r="O3" s="740" t="s">
        <v>388</v>
      </c>
      <c r="P3" s="741"/>
      <c r="Q3" s="741"/>
      <c r="R3" s="742" t="s">
        <v>192</v>
      </c>
      <c r="S3" s="743"/>
      <c r="T3" s="743"/>
      <c r="U3" s="743"/>
      <c r="V3" s="742" t="s">
        <v>443</v>
      </c>
      <c r="W3" s="743"/>
      <c r="X3" s="743"/>
      <c r="Y3" s="743"/>
      <c r="Z3" s="744"/>
    </row>
    <row r="4" spans="2:26" x14ac:dyDescent="0.25">
      <c r="B4" s="265" t="s">
        <v>390</v>
      </c>
      <c r="C4" s="266" t="s">
        <v>391</v>
      </c>
      <c r="D4" s="737" t="s">
        <v>444</v>
      </c>
      <c r="E4" s="737"/>
      <c r="F4" s="738"/>
      <c r="G4" s="701" t="s">
        <v>393</v>
      </c>
      <c r="H4" s="701"/>
      <c r="I4" s="701"/>
      <c r="J4" s="701"/>
      <c r="K4" s="266" t="s">
        <v>445</v>
      </c>
      <c r="L4" s="737" t="s">
        <v>394</v>
      </c>
      <c r="M4" s="739"/>
      <c r="O4" s="265" t="s">
        <v>390</v>
      </c>
      <c r="P4" s="266" t="s">
        <v>391</v>
      </c>
      <c r="Q4" s="737" t="s">
        <v>444</v>
      </c>
      <c r="R4" s="737"/>
      <c r="S4" s="738"/>
      <c r="T4" s="701" t="s">
        <v>393</v>
      </c>
      <c r="U4" s="701"/>
      <c r="V4" s="701"/>
      <c r="W4" s="701"/>
      <c r="X4" s="266" t="s">
        <v>445</v>
      </c>
      <c r="Y4" s="737" t="s">
        <v>394</v>
      </c>
      <c r="Z4" s="739"/>
    </row>
    <row r="5" spans="2:26" ht="24.95" customHeight="1" x14ac:dyDescent="0.25">
      <c r="B5" s="269"/>
      <c r="C5" s="270"/>
      <c r="D5" s="716"/>
      <c r="E5" s="745"/>
      <c r="F5" s="719"/>
      <c r="G5" s="704" t="s">
        <v>446</v>
      </c>
      <c r="H5" s="704"/>
      <c r="I5" s="704"/>
      <c r="J5" s="704"/>
      <c r="K5" s="270" t="s">
        <v>447</v>
      </c>
      <c r="L5" s="716"/>
      <c r="M5" s="746"/>
      <c r="O5" s="269"/>
      <c r="P5" s="270"/>
      <c r="Q5" s="716"/>
      <c r="R5" s="745"/>
      <c r="S5" s="719"/>
      <c r="T5" s="704" t="s">
        <v>446</v>
      </c>
      <c r="U5" s="704"/>
      <c r="V5" s="704"/>
      <c r="W5" s="704"/>
      <c r="X5" s="270" t="s">
        <v>447</v>
      </c>
      <c r="Y5" s="716"/>
      <c r="Z5" s="746"/>
    </row>
    <row r="6" spans="2:26" ht="24.95" customHeight="1" x14ac:dyDescent="0.25">
      <c r="B6" s="269"/>
      <c r="C6" s="270"/>
      <c r="D6" s="716"/>
      <c r="E6" s="745"/>
      <c r="F6" s="719"/>
      <c r="G6" s="704" t="s">
        <v>448</v>
      </c>
      <c r="H6" s="704"/>
      <c r="I6" s="704"/>
      <c r="J6" s="704"/>
      <c r="K6" s="270" t="s">
        <v>449</v>
      </c>
      <c r="L6" s="716"/>
      <c r="M6" s="746"/>
      <c r="O6" s="269"/>
      <c r="P6" s="270"/>
      <c r="Q6" s="716"/>
      <c r="R6" s="745"/>
      <c r="S6" s="719"/>
      <c r="T6" s="704" t="s">
        <v>448</v>
      </c>
      <c r="U6" s="704"/>
      <c r="V6" s="704"/>
      <c r="W6" s="704"/>
      <c r="X6" s="270" t="s">
        <v>449</v>
      </c>
      <c r="Y6" s="716"/>
      <c r="Z6" s="746"/>
    </row>
    <row r="7" spans="2:26" ht="21.75" customHeight="1" x14ac:dyDescent="0.25">
      <c r="B7" s="272" t="s">
        <v>123</v>
      </c>
      <c r="C7" s="703" t="s">
        <v>395</v>
      </c>
      <c r="D7" s="703"/>
      <c r="E7" s="274" t="s">
        <v>450</v>
      </c>
      <c r="F7" s="274" t="s">
        <v>451</v>
      </c>
      <c r="G7" s="274" t="s">
        <v>452</v>
      </c>
      <c r="H7" s="274" t="s">
        <v>453</v>
      </c>
      <c r="I7" s="703" t="s">
        <v>276</v>
      </c>
      <c r="J7" s="703"/>
      <c r="K7" s="703"/>
      <c r="L7" s="703"/>
      <c r="M7" s="706"/>
      <c r="O7" s="272" t="s">
        <v>123</v>
      </c>
      <c r="P7" s="703" t="s">
        <v>395</v>
      </c>
      <c r="Q7" s="703"/>
      <c r="R7" s="274" t="s">
        <v>450</v>
      </c>
      <c r="S7" s="274" t="s">
        <v>451</v>
      </c>
      <c r="T7" s="274" t="s">
        <v>452</v>
      </c>
      <c r="U7" s="274" t="s">
        <v>453</v>
      </c>
      <c r="V7" s="703" t="s">
        <v>276</v>
      </c>
      <c r="W7" s="703"/>
      <c r="X7" s="703"/>
      <c r="Y7" s="703"/>
      <c r="Z7" s="706"/>
    </row>
    <row r="8" spans="2:26" ht="18" customHeight="1" x14ac:dyDescent="0.25">
      <c r="B8" s="269">
        <v>1030</v>
      </c>
      <c r="C8" s="716" t="s">
        <v>454</v>
      </c>
      <c r="D8" s="719"/>
      <c r="E8" s="270" t="s">
        <v>621</v>
      </c>
      <c r="F8" s="270" t="s">
        <v>455</v>
      </c>
      <c r="G8" s="275" t="s">
        <v>456</v>
      </c>
      <c r="H8" s="270">
        <v>7</v>
      </c>
      <c r="I8" s="749" t="s">
        <v>619</v>
      </c>
      <c r="J8" s="750"/>
      <c r="K8" s="750"/>
      <c r="L8" s="750"/>
      <c r="M8" s="751"/>
      <c r="O8" s="269">
        <v>1030</v>
      </c>
      <c r="P8" s="716" t="s">
        <v>454</v>
      </c>
      <c r="Q8" s="719"/>
      <c r="R8" s="270" t="s">
        <v>621</v>
      </c>
      <c r="S8" s="270" t="s">
        <v>455</v>
      </c>
      <c r="T8" s="275" t="s">
        <v>456</v>
      </c>
      <c r="U8" s="270">
        <v>7</v>
      </c>
      <c r="V8" s="749" t="s">
        <v>619</v>
      </c>
      <c r="W8" s="750"/>
      <c r="X8" s="750"/>
      <c r="Y8" s="750"/>
      <c r="Z8" s="751"/>
    </row>
    <row r="9" spans="2:26" ht="18" customHeight="1" x14ac:dyDescent="0.25">
      <c r="B9" s="276">
        <v>1050</v>
      </c>
      <c r="C9" s="747" t="s">
        <v>423</v>
      </c>
      <c r="D9" s="748"/>
      <c r="E9" s="277" t="s">
        <v>621</v>
      </c>
      <c r="F9" s="277" t="s">
        <v>455</v>
      </c>
      <c r="G9" s="277">
        <v>3</v>
      </c>
      <c r="H9" s="277">
        <v>7</v>
      </c>
      <c r="I9" s="752"/>
      <c r="J9" s="753"/>
      <c r="K9" s="753"/>
      <c r="L9" s="753"/>
      <c r="M9" s="754"/>
      <c r="O9" s="276">
        <v>1050</v>
      </c>
      <c r="P9" s="747" t="s">
        <v>423</v>
      </c>
      <c r="Q9" s="748"/>
      <c r="R9" s="277" t="s">
        <v>621</v>
      </c>
      <c r="S9" s="277" t="s">
        <v>455</v>
      </c>
      <c r="T9" s="277">
        <v>3</v>
      </c>
      <c r="U9" s="277">
        <v>7</v>
      </c>
      <c r="V9" s="752"/>
      <c r="W9" s="753"/>
      <c r="X9" s="753"/>
      <c r="Y9" s="753"/>
      <c r="Z9" s="754"/>
    </row>
    <row r="10" spans="2:26" ht="18" customHeight="1" x14ac:dyDescent="0.25">
      <c r="B10" s="269">
        <v>1055</v>
      </c>
      <c r="C10" s="716" t="s">
        <v>424</v>
      </c>
      <c r="D10" s="719"/>
      <c r="E10" s="270" t="s">
        <v>621</v>
      </c>
      <c r="F10" s="270" t="s">
        <v>455</v>
      </c>
      <c r="G10" s="270" t="s">
        <v>457</v>
      </c>
      <c r="H10" s="270">
        <v>7</v>
      </c>
      <c r="I10" s="752"/>
      <c r="J10" s="753"/>
      <c r="K10" s="753"/>
      <c r="L10" s="753"/>
      <c r="M10" s="754"/>
      <c r="O10" s="269">
        <v>1055</v>
      </c>
      <c r="P10" s="716" t="s">
        <v>424</v>
      </c>
      <c r="Q10" s="719"/>
      <c r="R10" s="270" t="s">
        <v>621</v>
      </c>
      <c r="S10" s="270" t="s">
        <v>455</v>
      </c>
      <c r="T10" s="270" t="s">
        <v>457</v>
      </c>
      <c r="U10" s="270">
        <v>7</v>
      </c>
      <c r="V10" s="752"/>
      <c r="W10" s="753"/>
      <c r="X10" s="753"/>
      <c r="Y10" s="753"/>
      <c r="Z10" s="754"/>
    </row>
    <row r="11" spans="2:26" ht="18" customHeight="1" x14ac:dyDescent="0.25">
      <c r="B11" s="276">
        <v>1100</v>
      </c>
      <c r="C11" s="747" t="s">
        <v>204</v>
      </c>
      <c r="D11" s="748"/>
      <c r="E11" s="277" t="s">
        <v>621</v>
      </c>
      <c r="F11" s="277" t="s">
        <v>455</v>
      </c>
      <c r="G11" s="277" t="s">
        <v>507</v>
      </c>
      <c r="H11" s="277">
        <v>7</v>
      </c>
      <c r="I11" s="752"/>
      <c r="J11" s="753"/>
      <c r="K11" s="753"/>
      <c r="L11" s="753"/>
      <c r="M11" s="754"/>
      <c r="O11" s="276">
        <v>1100</v>
      </c>
      <c r="P11" s="747" t="s">
        <v>204</v>
      </c>
      <c r="Q11" s="748"/>
      <c r="R11" s="277" t="s">
        <v>621</v>
      </c>
      <c r="S11" s="277" t="s">
        <v>455</v>
      </c>
      <c r="T11" s="277" t="s">
        <v>507</v>
      </c>
      <c r="U11" s="277">
        <v>7</v>
      </c>
      <c r="V11" s="752"/>
      <c r="W11" s="753"/>
      <c r="X11" s="753"/>
      <c r="Y11" s="753"/>
      <c r="Z11" s="754"/>
    </row>
    <row r="12" spans="2:26" ht="18" customHeight="1" x14ac:dyDescent="0.25">
      <c r="B12" s="269" t="s">
        <v>459</v>
      </c>
      <c r="C12" s="716" t="s">
        <v>508</v>
      </c>
      <c r="D12" s="719"/>
      <c r="E12" s="270" t="s">
        <v>621</v>
      </c>
      <c r="F12" s="270" t="s">
        <v>455</v>
      </c>
      <c r="G12" s="270">
        <v>17</v>
      </c>
      <c r="H12" s="270">
        <v>7</v>
      </c>
      <c r="I12" s="752"/>
      <c r="J12" s="753"/>
      <c r="K12" s="753"/>
      <c r="L12" s="753"/>
      <c r="M12" s="754"/>
      <c r="O12" s="269" t="s">
        <v>459</v>
      </c>
      <c r="P12" s="716" t="s">
        <v>508</v>
      </c>
      <c r="Q12" s="719"/>
      <c r="R12" s="270" t="s">
        <v>621</v>
      </c>
      <c r="S12" s="270" t="s">
        <v>455</v>
      </c>
      <c r="T12" s="270">
        <v>17</v>
      </c>
      <c r="U12" s="270">
        <v>7</v>
      </c>
      <c r="V12" s="752"/>
      <c r="W12" s="753"/>
      <c r="X12" s="753"/>
      <c r="Y12" s="753"/>
      <c r="Z12" s="754"/>
    </row>
    <row r="13" spans="2:26" ht="18" customHeight="1" x14ac:dyDescent="0.25">
      <c r="B13" s="276" t="s">
        <v>461</v>
      </c>
      <c r="C13" s="747" t="s">
        <v>410</v>
      </c>
      <c r="D13" s="748"/>
      <c r="E13" s="277" t="s">
        <v>621</v>
      </c>
      <c r="F13" s="277" t="s">
        <v>455</v>
      </c>
      <c r="G13" s="277">
        <v>12</v>
      </c>
      <c r="H13" s="277">
        <v>7</v>
      </c>
      <c r="I13" s="752"/>
      <c r="J13" s="753"/>
      <c r="K13" s="753"/>
      <c r="L13" s="753"/>
      <c r="M13" s="754"/>
      <c r="O13" s="276" t="s">
        <v>461</v>
      </c>
      <c r="P13" s="747" t="s">
        <v>410</v>
      </c>
      <c r="Q13" s="748"/>
      <c r="R13" s="277" t="s">
        <v>621</v>
      </c>
      <c r="S13" s="277" t="s">
        <v>455</v>
      </c>
      <c r="T13" s="277">
        <v>12</v>
      </c>
      <c r="U13" s="277">
        <v>7</v>
      </c>
      <c r="V13" s="752"/>
      <c r="W13" s="753"/>
      <c r="X13" s="753"/>
      <c r="Y13" s="753"/>
      <c r="Z13" s="754"/>
    </row>
    <row r="14" spans="2:26" ht="18" customHeight="1" x14ac:dyDescent="0.25">
      <c r="B14" s="269">
        <v>1245</v>
      </c>
      <c r="C14" s="716" t="s">
        <v>463</v>
      </c>
      <c r="D14" s="719"/>
      <c r="E14" s="270" t="s">
        <v>621</v>
      </c>
      <c r="F14" s="270" t="s">
        <v>455</v>
      </c>
      <c r="G14" s="270" t="s">
        <v>464</v>
      </c>
      <c r="H14" s="270">
        <v>7</v>
      </c>
      <c r="I14" s="752"/>
      <c r="J14" s="753"/>
      <c r="K14" s="753"/>
      <c r="L14" s="753"/>
      <c r="M14" s="754"/>
      <c r="O14" s="269">
        <v>1245</v>
      </c>
      <c r="P14" s="716" t="s">
        <v>463</v>
      </c>
      <c r="Q14" s="719"/>
      <c r="R14" s="270" t="s">
        <v>621</v>
      </c>
      <c r="S14" s="270" t="s">
        <v>455</v>
      </c>
      <c r="T14" s="270" t="s">
        <v>464</v>
      </c>
      <c r="U14" s="270">
        <v>7</v>
      </c>
      <c r="V14" s="752"/>
      <c r="W14" s="753"/>
      <c r="X14" s="753"/>
      <c r="Y14" s="753"/>
      <c r="Z14" s="754"/>
    </row>
    <row r="15" spans="2:26" ht="18" customHeight="1" x14ac:dyDescent="0.25">
      <c r="B15" s="276">
        <v>1300</v>
      </c>
      <c r="C15" s="747" t="s">
        <v>204</v>
      </c>
      <c r="D15" s="748"/>
      <c r="E15" s="277" t="s">
        <v>621</v>
      </c>
      <c r="F15" s="277" t="s">
        <v>455</v>
      </c>
      <c r="G15" s="277" t="s">
        <v>507</v>
      </c>
      <c r="H15" s="277">
        <v>7</v>
      </c>
      <c r="I15" s="752"/>
      <c r="J15" s="753"/>
      <c r="K15" s="753"/>
      <c r="L15" s="753"/>
      <c r="M15" s="754"/>
      <c r="O15" s="276">
        <v>1300</v>
      </c>
      <c r="P15" s="747" t="s">
        <v>204</v>
      </c>
      <c r="Q15" s="748"/>
      <c r="R15" s="277" t="s">
        <v>621</v>
      </c>
      <c r="S15" s="277" t="s">
        <v>455</v>
      </c>
      <c r="T15" s="277" t="s">
        <v>507</v>
      </c>
      <c r="U15" s="277">
        <v>7</v>
      </c>
      <c r="V15" s="752"/>
      <c r="W15" s="753"/>
      <c r="X15" s="753"/>
      <c r="Y15" s="753"/>
      <c r="Z15" s="754"/>
    </row>
    <row r="16" spans="2:26" ht="18" customHeight="1" x14ac:dyDescent="0.25">
      <c r="B16" s="269" t="s">
        <v>465</v>
      </c>
      <c r="C16" s="716" t="s">
        <v>508</v>
      </c>
      <c r="D16" s="719"/>
      <c r="E16" s="270" t="s">
        <v>621</v>
      </c>
      <c r="F16" s="270" t="s">
        <v>455</v>
      </c>
      <c r="G16" s="270">
        <v>17</v>
      </c>
      <c r="H16" s="270">
        <v>7</v>
      </c>
      <c r="I16" s="752"/>
      <c r="J16" s="753"/>
      <c r="K16" s="753"/>
      <c r="L16" s="753"/>
      <c r="M16" s="754"/>
      <c r="O16" s="269" t="s">
        <v>465</v>
      </c>
      <c r="P16" s="716" t="s">
        <v>508</v>
      </c>
      <c r="Q16" s="719"/>
      <c r="R16" s="270" t="s">
        <v>621</v>
      </c>
      <c r="S16" s="270" t="s">
        <v>455</v>
      </c>
      <c r="T16" s="270">
        <v>17</v>
      </c>
      <c r="U16" s="270">
        <v>7</v>
      </c>
      <c r="V16" s="752"/>
      <c r="W16" s="753"/>
      <c r="X16" s="753"/>
      <c r="Y16" s="753"/>
      <c r="Z16" s="754"/>
    </row>
    <row r="17" spans="2:26" ht="18" customHeight="1" x14ac:dyDescent="0.25">
      <c r="B17" s="276" t="s">
        <v>466</v>
      </c>
      <c r="C17" s="747" t="s">
        <v>410</v>
      </c>
      <c r="D17" s="748"/>
      <c r="E17" s="277" t="s">
        <v>621</v>
      </c>
      <c r="F17" s="277" t="s">
        <v>455</v>
      </c>
      <c r="G17" s="277">
        <v>12</v>
      </c>
      <c r="H17" s="277">
        <v>7</v>
      </c>
      <c r="I17" s="752"/>
      <c r="J17" s="753"/>
      <c r="K17" s="753"/>
      <c r="L17" s="753"/>
      <c r="M17" s="754"/>
      <c r="O17" s="276" t="s">
        <v>466</v>
      </c>
      <c r="P17" s="747" t="s">
        <v>410</v>
      </c>
      <c r="Q17" s="748"/>
      <c r="R17" s="277" t="s">
        <v>621</v>
      </c>
      <c r="S17" s="277" t="s">
        <v>455</v>
      </c>
      <c r="T17" s="277">
        <v>12</v>
      </c>
      <c r="U17" s="277">
        <v>7</v>
      </c>
      <c r="V17" s="752"/>
      <c r="W17" s="753"/>
      <c r="X17" s="753"/>
      <c r="Y17" s="753"/>
      <c r="Z17" s="754"/>
    </row>
    <row r="18" spans="2:26" ht="18" customHeight="1" x14ac:dyDescent="0.25">
      <c r="B18" s="269">
        <v>1445</v>
      </c>
      <c r="C18" s="716" t="s">
        <v>463</v>
      </c>
      <c r="D18" s="719"/>
      <c r="E18" s="270" t="s">
        <v>621</v>
      </c>
      <c r="F18" s="270" t="s">
        <v>455</v>
      </c>
      <c r="G18" s="270" t="s">
        <v>464</v>
      </c>
      <c r="H18" s="270">
        <v>7</v>
      </c>
      <c r="I18" s="752"/>
      <c r="J18" s="753"/>
      <c r="K18" s="753"/>
      <c r="L18" s="753"/>
      <c r="M18" s="754"/>
      <c r="O18" s="269">
        <v>1445</v>
      </c>
      <c r="P18" s="716" t="s">
        <v>463</v>
      </c>
      <c r="Q18" s="719"/>
      <c r="R18" s="270" t="s">
        <v>621</v>
      </c>
      <c r="S18" s="270" t="s">
        <v>455</v>
      </c>
      <c r="T18" s="270" t="s">
        <v>464</v>
      </c>
      <c r="U18" s="270">
        <v>7</v>
      </c>
      <c r="V18" s="752"/>
      <c r="W18" s="753"/>
      <c r="X18" s="753"/>
      <c r="Y18" s="753"/>
      <c r="Z18" s="754"/>
    </row>
    <row r="19" spans="2:26" ht="18" customHeight="1" x14ac:dyDescent="0.25">
      <c r="B19" s="276">
        <v>1500</v>
      </c>
      <c r="C19" s="747" t="s">
        <v>434</v>
      </c>
      <c r="D19" s="748"/>
      <c r="E19" s="277" t="s">
        <v>621</v>
      </c>
      <c r="F19" s="277" t="s">
        <v>455</v>
      </c>
      <c r="G19" s="277" t="s">
        <v>467</v>
      </c>
      <c r="H19" s="277">
        <v>7</v>
      </c>
      <c r="I19" s="755"/>
      <c r="J19" s="756"/>
      <c r="K19" s="756"/>
      <c r="L19" s="756"/>
      <c r="M19" s="757"/>
      <c r="O19" s="276">
        <v>1500</v>
      </c>
      <c r="P19" s="747" t="s">
        <v>434</v>
      </c>
      <c r="Q19" s="748"/>
      <c r="R19" s="277" t="s">
        <v>621</v>
      </c>
      <c r="S19" s="277" t="s">
        <v>455</v>
      </c>
      <c r="T19" s="277" t="s">
        <v>467</v>
      </c>
      <c r="U19" s="277">
        <v>7</v>
      </c>
      <c r="V19" s="755"/>
      <c r="W19" s="756"/>
      <c r="X19" s="756"/>
      <c r="Y19" s="756"/>
      <c r="Z19" s="757"/>
    </row>
    <row r="20" spans="2:26" ht="18" customHeight="1" x14ac:dyDescent="0.25">
      <c r="B20" s="265" t="s">
        <v>468</v>
      </c>
      <c r="C20" s="701" t="s">
        <v>398</v>
      </c>
      <c r="D20" s="701"/>
      <c r="E20" s="701" t="s">
        <v>399</v>
      </c>
      <c r="F20" s="701"/>
      <c r="G20" s="701"/>
      <c r="H20" s="266"/>
      <c r="I20" s="266" t="s">
        <v>469</v>
      </c>
      <c r="J20" s="701" t="s">
        <v>398</v>
      </c>
      <c r="K20" s="701"/>
      <c r="L20" s="701" t="s">
        <v>399</v>
      </c>
      <c r="M20" s="702"/>
      <c r="O20" s="265" t="s">
        <v>468</v>
      </c>
      <c r="P20" s="701" t="s">
        <v>398</v>
      </c>
      <c r="Q20" s="701"/>
      <c r="R20" s="701" t="s">
        <v>399</v>
      </c>
      <c r="S20" s="701"/>
      <c r="T20" s="701"/>
      <c r="U20" s="266"/>
      <c r="V20" s="266" t="s">
        <v>469</v>
      </c>
      <c r="W20" s="701" t="s">
        <v>398</v>
      </c>
      <c r="X20" s="701"/>
      <c r="Y20" s="701" t="s">
        <v>399</v>
      </c>
      <c r="Z20" s="702"/>
    </row>
    <row r="21" spans="2:26" ht="18" customHeight="1" x14ac:dyDescent="0.25">
      <c r="B21" s="278">
        <v>1</v>
      </c>
      <c r="C21" s="758" t="s">
        <v>412</v>
      </c>
      <c r="D21" s="758"/>
      <c r="E21" s="759">
        <v>273.57499999999999</v>
      </c>
      <c r="F21" s="759"/>
      <c r="G21" s="759"/>
      <c r="H21" s="279"/>
      <c r="I21" s="280" t="s">
        <v>416</v>
      </c>
      <c r="J21" s="758" t="s">
        <v>417</v>
      </c>
      <c r="K21" s="758"/>
      <c r="L21" s="759">
        <v>121.95</v>
      </c>
      <c r="M21" s="760"/>
      <c r="O21" s="278">
        <v>1</v>
      </c>
      <c r="P21" s="758" t="s">
        <v>412</v>
      </c>
      <c r="Q21" s="758"/>
      <c r="R21" s="759">
        <v>273.57499999999999</v>
      </c>
      <c r="S21" s="759"/>
      <c r="T21" s="759"/>
      <c r="U21" s="279"/>
      <c r="V21" s="280" t="s">
        <v>416</v>
      </c>
      <c r="W21" s="758" t="s">
        <v>417</v>
      </c>
      <c r="X21" s="758"/>
      <c r="Y21" s="759">
        <v>121.95</v>
      </c>
      <c r="Z21" s="760"/>
    </row>
    <row r="22" spans="2:26" ht="18" customHeight="1" x14ac:dyDescent="0.25">
      <c r="B22" s="281">
        <v>2</v>
      </c>
      <c r="C22" s="761" t="s">
        <v>470</v>
      </c>
      <c r="D22" s="761"/>
      <c r="E22" s="762">
        <v>355.6</v>
      </c>
      <c r="F22" s="762"/>
      <c r="G22" s="762"/>
      <c r="H22" s="279"/>
      <c r="I22" s="282" t="s">
        <v>416</v>
      </c>
      <c r="J22" s="761" t="s">
        <v>418</v>
      </c>
      <c r="K22" s="761"/>
      <c r="L22" s="762">
        <v>124.85</v>
      </c>
      <c r="M22" s="763"/>
      <c r="O22" s="281">
        <v>2</v>
      </c>
      <c r="P22" s="761" t="s">
        <v>470</v>
      </c>
      <c r="Q22" s="761"/>
      <c r="R22" s="762">
        <v>355.6</v>
      </c>
      <c r="S22" s="762"/>
      <c r="T22" s="762"/>
      <c r="U22" s="279"/>
      <c r="V22" s="282" t="s">
        <v>416</v>
      </c>
      <c r="W22" s="761" t="s">
        <v>418</v>
      </c>
      <c r="X22" s="761"/>
      <c r="Y22" s="762">
        <v>124.85</v>
      </c>
      <c r="Z22" s="763"/>
    </row>
    <row r="23" spans="2:26" ht="18" customHeight="1" x14ac:dyDescent="0.25">
      <c r="B23" s="278">
        <v>3</v>
      </c>
      <c r="C23" s="758" t="s">
        <v>413</v>
      </c>
      <c r="D23" s="758"/>
      <c r="E23" s="759">
        <v>317.64999999999998</v>
      </c>
      <c r="F23" s="759"/>
      <c r="G23" s="759"/>
      <c r="H23" s="279"/>
      <c r="I23" s="280" t="s">
        <v>416</v>
      </c>
      <c r="J23" s="758" t="s">
        <v>509</v>
      </c>
      <c r="K23" s="758"/>
      <c r="L23" s="759">
        <v>135.15</v>
      </c>
      <c r="M23" s="760"/>
      <c r="O23" s="278">
        <v>3</v>
      </c>
      <c r="P23" s="758" t="s">
        <v>413</v>
      </c>
      <c r="Q23" s="758"/>
      <c r="R23" s="759">
        <v>317.64999999999998</v>
      </c>
      <c r="S23" s="759"/>
      <c r="T23" s="759"/>
      <c r="U23" s="279"/>
      <c r="V23" s="280" t="s">
        <v>416</v>
      </c>
      <c r="W23" s="758" t="s">
        <v>509</v>
      </c>
      <c r="X23" s="758"/>
      <c r="Y23" s="759">
        <v>135.15</v>
      </c>
      <c r="Z23" s="760"/>
    </row>
    <row r="24" spans="2:26" ht="18" customHeight="1" x14ac:dyDescent="0.25">
      <c r="B24" s="281">
        <v>4</v>
      </c>
      <c r="C24" s="761" t="s">
        <v>414</v>
      </c>
      <c r="D24" s="761"/>
      <c r="E24" s="762">
        <v>348.67500000000001</v>
      </c>
      <c r="F24" s="762"/>
      <c r="G24" s="762"/>
      <c r="H24" s="279"/>
      <c r="I24" s="282" t="s">
        <v>416</v>
      </c>
      <c r="J24" s="764" t="s">
        <v>421</v>
      </c>
      <c r="K24" s="765"/>
      <c r="L24" s="766">
        <v>124.05</v>
      </c>
      <c r="M24" s="767"/>
      <c r="O24" s="281">
        <v>4</v>
      </c>
      <c r="P24" s="761" t="s">
        <v>414</v>
      </c>
      <c r="Q24" s="761"/>
      <c r="R24" s="762">
        <v>348.67500000000001</v>
      </c>
      <c r="S24" s="762"/>
      <c r="T24" s="762"/>
      <c r="U24" s="279"/>
      <c r="V24" s="282" t="s">
        <v>416</v>
      </c>
      <c r="W24" s="764" t="s">
        <v>421</v>
      </c>
      <c r="X24" s="765"/>
      <c r="Y24" s="766">
        <v>124.05</v>
      </c>
      <c r="Z24" s="767"/>
    </row>
    <row r="25" spans="2:26" ht="18" customHeight="1" x14ac:dyDescent="0.25">
      <c r="B25" s="278">
        <v>7</v>
      </c>
      <c r="C25" s="758" t="s">
        <v>652</v>
      </c>
      <c r="D25" s="758"/>
      <c r="E25" s="759">
        <v>255.1</v>
      </c>
      <c r="F25" s="759"/>
      <c r="G25" s="759"/>
      <c r="H25" s="279"/>
      <c r="I25" s="280" t="s">
        <v>416</v>
      </c>
      <c r="J25" s="768" t="s">
        <v>510</v>
      </c>
      <c r="K25" s="769"/>
      <c r="L25" s="770">
        <v>119.27500000000001</v>
      </c>
      <c r="M25" s="790"/>
      <c r="O25" s="278">
        <v>7</v>
      </c>
      <c r="P25" s="758" t="s">
        <v>652</v>
      </c>
      <c r="Q25" s="758"/>
      <c r="R25" s="759">
        <v>255.1</v>
      </c>
      <c r="S25" s="759"/>
      <c r="T25" s="759"/>
      <c r="U25" s="279"/>
      <c r="V25" s="280" t="s">
        <v>416</v>
      </c>
      <c r="W25" s="768" t="s">
        <v>510</v>
      </c>
      <c r="X25" s="769"/>
      <c r="Y25" s="770">
        <v>119.27500000000001</v>
      </c>
      <c r="Z25" s="790"/>
    </row>
    <row r="26" spans="2:26" ht="18" customHeight="1" x14ac:dyDescent="0.25">
      <c r="B26" s="281">
        <v>9</v>
      </c>
      <c r="C26" s="764" t="s">
        <v>475</v>
      </c>
      <c r="D26" s="765"/>
      <c r="E26" s="762">
        <v>250</v>
      </c>
      <c r="F26" s="762"/>
      <c r="G26" s="762"/>
      <c r="H26" s="279"/>
      <c r="I26" s="282" t="s">
        <v>416</v>
      </c>
      <c r="J26" s="764" t="s">
        <v>511</v>
      </c>
      <c r="K26" s="765"/>
      <c r="L26" s="766">
        <v>122.95</v>
      </c>
      <c r="M26" s="767"/>
      <c r="O26" s="281">
        <v>9</v>
      </c>
      <c r="P26" s="764" t="s">
        <v>475</v>
      </c>
      <c r="Q26" s="765"/>
      <c r="R26" s="762">
        <v>250</v>
      </c>
      <c r="S26" s="762"/>
      <c r="T26" s="762"/>
      <c r="U26" s="279"/>
      <c r="V26" s="282" t="s">
        <v>416</v>
      </c>
      <c r="W26" s="764" t="s">
        <v>511</v>
      </c>
      <c r="X26" s="765"/>
      <c r="Y26" s="766">
        <v>122.95</v>
      </c>
      <c r="Z26" s="767"/>
    </row>
    <row r="27" spans="2:26" ht="18" customHeight="1" x14ac:dyDescent="0.25">
      <c r="B27" s="278">
        <v>12</v>
      </c>
      <c r="C27" s="758" t="s">
        <v>477</v>
      </c>
      <c r="D27" s="758"/>
      <c r="E27" s="759">
        <v>237.9</v>
      </c>
      <c r="F27" s="759"/>
      <c r="G27" s="759"/>
      <c r="H27" s="279"/>
      <c r="I27" s="280" t="s">
        <v>416</v>
      </c>
      <c r="J27" s="758" t="s">
        <v>512</v>
      </c>
      <c r="K27" s="758"/>
      <c r="L27" s="759">
        <v>118.72499999999999</v>
      </c>
      <c r="M27" s="760"/>
      <c r="O27" s="278">
        <v>12</v>
      </c>
      <c r="P27" s="758" t="s">
        <v>477</v>
      </c>
      <c r="Q27" s="758"/>
      <c r="R27" s="759">
        <v>237.9</v>
      </c>
      <c r="S27" s="759"/>
      <c r="T27" s="759"/>
      <c r="U27" s="279"/>
      <c r="V27" s="280" t="s">
        <v>416</v>
      </c>
      <c r="W27" s="758" t="s">
        <v>512</v>
      </c>
      <c r="X27" s="758"/>
      <c r="Y27" s="759">
        <v>118.72499999999999</v>
      </c>
      <c r="Z27" s="760"/>
    </row>
    <row r="28" spans="2:26" ht="18" customHeight="1" x14ac:dyDescent="0.25">
      <c r="B28" s="281">
        <v>13</v>
      </c>
      <c r="C28" s="764" t="s">
        <v>479</v>
      </c>
      <c r="D28" s="765"/>
      <c r="E28" s="762">
        <v>327.39999999999998</v>
      </c>
      <c r="F28" s="762"/>
      <c r="G28" s="762"/>
      <c r="H28" s="279"/>
      <c r="I28" s="282" t="s">
        <v>416</v>
      </c>
      <c r="J28" s="761" t="s">
        <v>513</v>
      </c>
      <c r="K28" s="761"/>
      <c r="L28" s="762">
        <v>123.05</v>
      </c>
      <c r="M28" s="763"/>
      <c r="O28" s="281">
        <v>13</v>
      </c>
      <c r="P28" s="764" t="s">
        <v>479</v>
      </c>
      <c r="Q28" s="765"/>
      <c r="R28" s="762">
        <v>327.39999999999998</v>
      </c>
      <c r="S28" s="762"/>
      <c r="T28" s="762"/>
      <c r="U28" s="279"/>
      <c r="V28" s="282" t="s">
        <v>416</v>
      </c>
      <c r="W28" s="761" t="s">
        <v>513</v>
      </c>
      <c r="X28" s="761"/>
      <c r="Y28" s="762">
        <v>123.05</v>
      </c>
      <c r="Z28" s="763"/>
    </row>
    <row r="29" spans="2:26" ht="18" customHeight="1" x14ac:dyDescent="0.25">
      <c r="B29" s="278">
        <v>14</v>
      </c>
      <c r="C29" s="768" t="s">
        <v>481</v>
      </c>
      <c r="D29" s="769"/>
      <c r="E29" s="759">
        <v>328.2</v>
      </c>
      <c r="F29" s="759"/>
      <c r="G29" s="759"/>
      <c r="H29" s="279"/>
      <c r="I29" s="280" t="s">
        <v>416</v>
      </c>
      <c r="J29" s="758" t="s">
        <v>514</v>
      </c>
      <c r="K29" s="758"/>
      <c r="L29" s="759">
        <v>124.17</v>
      </c>
      <c r="M29" s="760"/>
      <c r="O29" s="278">
        <v>14</v>
      </c>
      <c r="P29" s="768" t="s">
        <v>481</v>
      </c>
      <c r="Q29" s="769"/>
      <c r="R29" s="759">
        <v>328.2</v>
      </c>
      <c r="S29" s="759"/>
      <c r="T29" s="759"/>
      <c r="U29" s="279"/>
      <c r="V29" s="280" t="s">
        <v>416</v>
      </c>
      <c r="W29" s="758" t="s">
        <v>514</v>
      </c>
      <c r="X29" s="758"/>
      <c r="Y29" s="759">
        <v>124.17</v>
      </c>
      <c r="Z29" s="760"/>
    </row>
    <row r="30" spans="2:26" ht="18" customHeight="1" x14ac:dyDescent="0.25">
      <c r="B30" s="281">
        <v>15</v>
      </c>
      <c r="C30" s="764" t="s">
        <v>483</v>
      </c>
      <c r="D30" s="765"/>
      <c r="E30" s="762">
        <v>262.7</v>
      </c>
      <c r="F30" s="762"/>
      <c r="G30" s="762"/>
      <c r="H30" s="279"/>
      <c r="I30" s="282" t="s">
        <v>416</v>
      </c>
      <c r="J30" s="761" t="s">
        <v>515</v>
      </c>
      <c r="K30" s="761"/>
      <c r="L30" s="762">
        <v>123</v>
      </c>
      <c r="M30" s="763"/>
      <c r="O30" s="281">
        <v>15</v>
      </c>
      <c r="P30" s="764" t="s">
        <v>483</v>
      </c>
      <c r="Q30" s="765"/>
      <c r="R30" s="762">
        <v>262.7</v>
      </c>
      <c r="S30" s="762"/>
      <c r="T30" s="762"/>
      <c r="U30" s="279"/>
      <c r="V30" s="282" t="s">
        <v>416</v>
      </c>
      <c r="W30" s="761" t="s">
        <v>515</v>
      </c>
      <c r="X30" s="761"/>
      <c r="Y30" s="762">
        <v>123</v>
      </c>
      <c r="Z30" s="763"/>
    </row>
    <row r="31" spans="2:26" ht="18" customHeight="1" x14ac:dyDescent="0.25">
      <c r="B31" s="278">
        <v>16</v>
      </c>
      <c r="C31" s="768" t="s">
        <v>485</v>
      </c>
      <c r="D31" s="769"/>
      <c r="E31" s="759">
        <v>316.39999999999998</v>
      </c>
      <c r="F31" s="759"/>
      <c r="G31" s="759"/>
      <c r="H31" s="279"/>
      <c r="I31" s="280" t="s">
        <v>416</v>
      </c>
      <c r="J31" s="758" t="s">
        <v>516</v>
      </c>
      <c r="K31" s="758"/>
      <c r="L31" s="759">
        <v>124.05</v>
      </c>
      <c r="M31" s="760"/>
      <c r="O31" s="278">
        <v>16</v>
      </c>
      <c r="P31" s="768" t="s">
        <v>485</v>
      </c>
      <c r="Q31" s="769"/>
      <c r="R31" s="759">
        <v>316.39999999999998</v>
      </c>
      <c r="S31" s="759"/>
      <c r="T31" s="759"/>
      <c r="U31" s="279"/>
      <c r="V31" s="280" t="s">
        <v>416</v>
      </c>
      <c r="W31" s="758" t="s">
        <v>516</v>
      </c>
      <c r="X31" s="758"/>
      <c r="Y31" s="759">
        <v>124.05</v>
      </c>
      <c r="Z31" s="760"/>
    </row>
    <row r="32" spans="2:26" ht="18" customHeight="1" x14ac:dyDescent="0.25">
      <c r="B32" s="281">
        <v>17</v>
      </c>
      <c r="C32" s="764" t="s">
        <v>487</v>
      </c>
      <c r="D32" s="765"/>
      <c r="E32" s="762">
        <v>308.64999999999998</v>
      </c>
      <c r="F32" s="762"/>
      <c r="G32" s="762"/>
      <c r="H32" s="279"/>
      <c r="I32" s="282" t="s">
        <v>416</v>
      </c>
      <c r="J32" s="761" t="s">
        <v>517</v>
      </c>
      <c r="K32" s="761"/>
      <c r="L32" s="762">
        <v>122.8</v>
      </c>
      <c r="M32" s="763"/>
      <c r="O32" s="281">
        <v>17</v>
      </c>
      <c r="P32" s="764" t="s">
        <v>487</v>
      </c>
      <c r="Q32" s="765"/>
      <c r="R32" s="762">
        <v>308.64999999999998</v>
      </c>
      <c r="S32" s="762"/>
      <c r="T32" s="762"/>
      <c r="U32" s="279"/>
      <c r="V32" s="282" t="s">
        <v>416</v>
      </c>
      <c r="W32" s="761" t="s">
        <v>517</v>
      </c>
      <c r="X32" s="761"/>
      <c r="Y32" s="762">
        <v>122.8</v>
      </c>
      <c r="Z32" s="763"/>
    </row>
    <row r="33" spans="2:26" ht="18" customHeight="1" x14ac:dyDescent="0.25">
      <c r="B33" s="278">
        <v>18</v>
      </c>
      <c r="C33" s="768" t="s">
        <v>489</v>
      </c>
      <c r="D33" s="769"/>
      <c r="E33" s="759">
        <v>277</v>
      </c>
      <c r="F33" s="759"/>
      <c r="G33" s="759"/>
      <c r="H33" s="279"/>
      <c r="I33" s="280" t="s">
        <v>416</v>
      </c>
      <c r="J33" s="758" t="s">
        <v>490</v>
      </c>
      <c r="K33" s="758"/>
      <c r="L33" s="759">
        <v>123.02500000000001</v>
      </c>
      <c r="M33" s="760"/>
      <c r="O33" s="278">
        <v>18</v>
      </c>
      <c r="P33" s="768" t="s">
        <v>489</v>
      </c>
      <c r="Q33" s="769"/>
      <c r="R33" s="759">
        <v>277</v>
      </c>
      <c r="S33" s="759"/>
      <c r="T33" s="759"/>
      <c r="U33" s="279"/>
      <c r="V33" s="280" t="s">
        <v>416</v>
      </c>
      <c r="W33" s="758" t="s">
        <v>490</v>
      </c>
      <c r="X33" s="758"/>
      <c r="Y33" s="759">
        <v>123.02500000000001</v>
      </c>
      <c r="Z33" s="760"/>
    </row>
    <row r="34" spans="2:26" ht="18" customHeight="1" x14ac:dyDescent="0.25">
      <c r="B34" s="281">
        <v>19</v>
      </c>
      <c r="C34" s="764" t="s">
        <v>491</v>
      </c>
      <c r="D34" s="765"/>
      <c r="E34" s="762">
        <v>311.39999999999998</v>
      </c>
      <c r="F34" s="762"/>
      <c r="G34" s="762"/>
      <c r="H34" s="279"/>
      <c r="I34" s="282" t="s">
        <v>416</v>
      </c>
      <c r="J34" s="761" t="s">
        <v>492</v>
      </c>
      <c r="K34" s="761"/>
      <c r="L34" s="762">
        <v>123.3</v>
      </c>
      <c r="M34" s="763"/>
      <c r="O34" s="281">
        <v>19</v>
      </c>
      <c r="P34" s="764" t="s">
        <v>491</v>
      </c>
      <c r="Q34" s="765"/>
      <c r="R34" s="762">
        <v>311.39999999999998</v>
      </c>
      <c r="S34" s="762"/>
      <c r="T34" s="762"/>
      <c r="U34" s="279"/>
      <c r="V34" s="282" t="s">
        <v>416</v>
      </c>
      <c r="W34" s="761" t="s">
        <v>492</v>
      </c>
      <c r="X34" s="761"/>
      <c r="Y34" s="762">
        <v>123.3</v>
      </c>
      <c r="Z34" s="763"/>
    </row>
    <row r="35" spans="2:26" ht="18" customHeight="1" x14ac:dyDescent="0.25">
      <c r="B35" s="278">
        <v>20</v>
      </c>
      <c r="C35" s="758" t="s">
        <v>415</v>
      </c>
      <c r="D35" s="758"/>
      <c r="E35" s="759">
        <v>281.75</v>
      </c>
      <c r="F35" s="759"/>
      <c r="G35" s="759"/>
      <c r="H35" s="279"/>
      <c r="I35" s="280" t="s">
        <v>416</v>
      </c>
      <c r="J35" s="758" t="s">
        <v>493</v>
      </c>
      <c r="K35" s="758"/>
      <c r="L35" s="759">
        <v>123.5</v>
      </c>
      <c r="M35" s="760"/>
      <c r="O35" s="278">
        <v>20</v>
      </c>
      <c r="P35" s="758" t="s">
        <v>415</v>
      </c>
      <c r="Q35" s="758"/>
      <c r="R35" s="759">
        <v>281.75</v>
      </c>
      <c r="S35" s="759"/>
      <c r="T35" s="759"/>
      <c r="U35" s="279"/>
      <c r="V35" s="280" t="s">
        <v>416</v>
      </c>
      <c r="W35" s="758" t="s">
        <v>493</v>
      </c>
      <c r="X35" s="758"/>
      <c r="Y35" s="759">
        <v>123.5</v>
      </c>
      <c r="Z35" s="760"/>
    </row>
    <row r="36" spans="2:26" x14ac:dyDescent="0.25">
      <c r="B36" s="724" t="s">
        <v>400</v>
      </c>
      <c r="C36" s="722"/>
      <c r="D36" s="722"/>
      <c r="E36" s="722"/>
      <c r="F36" s="722"/>
      <c r="G36" s="722"/>
      <c r="H36" s="722"/>
      <c r="I36" s="722"/>
      <c r="J36" s="722"/>
      <c r="K36" s="722"/>
      <c r="L36" s="722" t="s">
        <v>401</v>
      </c>
      <c r="M36" s="723"/>
      <c r="O36" s="724" t="s">
        <v>400</v>
      </c>
      <c r="P36" s="722"/>
      <c r="Q36" s="722"/>
      <c r="R36" s="722"/>
      <c r="S36" s="722"/>
      <c r="T36" s="722"/>
      <c r="U36" s="722"/>
      <c r="V36" s="722"/>
      <c r="W36" s="722"/>
      <c r="X36" s="722"/>
      <c r="Y36" s="722" t="s">
        <v>401</v>
      </c>
      <c r="Z36" s="723"/>
    </row>
    <row r="37" spans="2:26" ht="24.95" customHeight="1" x14ac:dyDescent="0.25">
      <c r="B37" s="735" t="s">
        <v>437</v>
      </c>
      <c r="C37" s="721"/>
      <c r="D37" s="772" t="s">
        <v>439</v>
      </c>
      <c r="E37" s="773"/>
      <c r="F37" s="774"/>
      <c r="G37" s="721" t="s">
        <v>436</v>
      </c>
      <c r="H37" s="721"/>
      <c r="I37" s="721"/>
      <c r="J37" s="721" t="s">
        <v>402</v>
      </c>
      <c r="K37" s="721"/>
      <c r="L37" s="704" t="s">
        <v>442</v>
      </c>
      <c r="M37" s="705"/>
      <c r="O37" s="735" t="s">
        <v>437</v>
      </c>
      <c r="P37" s="721"/>
      <c r="Q37" s="772" t="s">
        <v>439</v>
      </c>
      <c r="R37" s="773"/>
      <c r="S37" s="774"/>
      <c r="T37" s="721" t="s">
        <v>436</v>
      </c>
      <c r="U37" s="721"/>
      <c r="V37" s="721"/>
      <c r="W37" s="721" t="s">
        <v>402</v>
      </c>
      <c r="X37" s="721"/>
      <c r="Y37" s="704" t="s">
        <v>442</v>
      </c>
      <c r="Z37" s="705"/>
    </row>
    <row r="38" spans="2:26" ht="24.95" customHeight="1" x14ac:dyDescent="0.25">
      <c r="B38" s="735" t="s">
        <v>438</v>
      </c>
      <c r="C38" s="721"/>
      <c r="D38" s="772" t="s">
        <v>440</v>
      </c>
      <c r="E38" s="773"/>
      <c r="F38" s="774"/>
      <c r="G38" s="721" t="s">
        <v>441</v>
      </c>
      <c r="H38" s="721"/>
      <c r="I38" s="721"/>
      <c r="J38" s="721" t="s">
        <v>403</v>
      </c>
      <c r="K38" s="721"/>
      <c r="L38" s="704" t="s">
        <v>404</v>
      </c>
      <c r="M38" s="705"/>
      <c r="O38" s="735" t="s">
        <v>438</v>
      </c>
      <c r="P38" s="721"/>
      <c r="Q38" s="772" t="s">
        <v>440</v>
      </c>
      <c r="R38" s="773"/>
      <c r="S38" s="774"/>
      <c r="T38" s="721" t="s">
        <v>441</v>
      </c>
      <c r="U38" s="721"/>
      <c r="V38" s="721"/>
      <c r="W38" s="721" t="s">
        <v>403</v>
      </c>
      <c r="X38" s="721"/>
      <c r="Y38" s="704" t="s">
        <v>404</v>
      </c>
      <c r="Z38" s="705"/>
    </row>
    <row r="39" spans="2:26" ht="30" customHeight="1" x14ac:dyDescent="0.25">
      <c r="B39" s="735" t="s">
        <v>405</v>
      </c>
      <c r="C39" s="721"/>
      <c r="D39" s="721"/>
      <c r="E39" s="721"/>
      <c r="F39" s="721"/>
      <c r="G39" s="721"/>
      <c r="H39" s="721"/>
      <c r="I39" s="721"/>
      <c r="J39" s="721"/>
      <c r="K39" s="721"/>
      <c r="L39" s="721"/>
      <c r="M39" s="736"/>
      <c r="O39" s="735" t="s">
        <v>405</v>
      </c>
      <c r="P39" s="721"/>
      <c r="Q39" s="721"/>
      <c r="R39" s="721"/>
      <c r="S39" s="721"/>
      <c r="T39" s="721"/>
      <c r="U39" s="721"/>
      <c r="V39" s="721"/>
      <c r="W39" s="721"/>
      <c r="X39" s="721"/>
      <c r="Y39" s="721"/>
      <c r="Z39" s="736"/>
    </row>
    <row r="40" spans="2:26" ht="30" customHeight="1" x14ac:dyDescent="0.25">
      <c r="B40" s="735" t="s">
        <v>405</v>
      </c>
      <c r="C40" s="721"/>
      <c r="D40" s="721"/>
      <c r="E40" s="721"/>
      <c r="F40" s="721"/>
      <c r="G40" s="721"/>
      <c r="H40" s="721"/>
      <c r="I40" s="721"/>
      <c r="J40" s="721"/>
      <c r="K40" s="721"/>
      <c r="L40" s="721"/>
      <c r="M40" s="736"/>
      <c r="O40" s="735" t="s">
        <v>405</v>
      </c>
      <c r="P40" s="721"/>
      <c r="Q40" s="721"/>
      <c r="R40" s="721"/>
      <c r="S40" s="721"/>
      <c r="T40" s="721"/>
      <c r="U40" s="721"/>
      <c r="V40" s="721"/>
      <c r="W40" s="721"/>
      <c r="X40" s="721"/>
      <c r="Y40" s="721"/>
      <c r="Z40" s="736"/>
    </row>
    <row r="41" spans="2:26" x14ac:dyDescent="0.25">
      <c r="B41" s="267" t="s">
        <v>406</v>
      </c>
      <c r="C41" s="268" t="s">
        <v>324</v>
      </c>
      <c r="D41" s="268" t="s">
        <v>323</v>
      </c>
      <c r="E41" s="701" t="s">
        <v>494</v>
      </c>
      <c r="F41" s="701"/>
      <c r="G41" s="701"/>
      <c r="H41" s="775" t="s">
        <v>495</v>
      </c>
      <c r="I41" s="776"/>
      <c r="J41" s="776"/>
      <c r="K41" s="701" t="s">
        <v>411</v>
      </c>
      <c r="L41" s="701"/>
      <c r="M41" s="702"/>
      <c r="O41" s="267" t="s">
        <v>406</v>
      </c>
      <c r="P41" s="268" t="s">
        <v>324</v>
      </c>
      <c r="Q41" s="268" t="s">
        <v>323</v>
      </c>
      <c r="R41" s="701" t="s">
        <v>494</v>
      </c>
      <c r="S41" s="701"/>
      <c r="T41" s="701"/>
      <c r="U41" s="775" t="s">
        <v>495</v>
      </c>
      <c r="V41" s="776"/>
      <c r="W41" s="776"/>
      <c r="X41" s="701" t="s">
        <v>411</v>
      </c>
      <c r="Y41" s="701"/>
      <c r="Z41" s="702"/>
    </row>
    <row r="42" spans="2:26" ht="24.95" customHeight="1" x14ac:dyDescent="0.25">
      <c r="B42" s="269" t="s">
        <v>119</v>
      </c>
      <c r="C42" s="270"/>
      <c r="D42" s="270"/>
      <c r="E42" s="704"/>
      <c r="F42" s="704"/>
      <c r="G42" s="704"/>
      <c r="H42" s="716"/>
      <c r="I42" s="745"/>
      <c r="J42" s="719"/>
      <c r="K42" s="704"/>
      <c r="L42" s="704"/>
      <c r="M42" s="705"/>
      <c r="O42" s="269" t="s">
        <v>119</v>
      </c>
      <c r="P42" s="270"/>
      <c r="Q42" s="270"/>
      <c r="R42" s="704"/>
      <c r="S42" s="704"/>
      <c r="T42" s="704"/>
      <c r="U42" s="716"/>
      <c r="V42" s="745"/>
      <c r="W42" s="719"/>
      <c r="X42" s="704"/>
      <c r="Y42" s="704"/>
      <c r="Z42" s="705"/>
    </row>
    <row r="43" spans="2:26" ht="24.95" customHeight="1" x14ac:dyDescent="0.25">
      <c r="B43" s="269" t="s">
        <v>496</v>
      </c>
      <c r="C43" s="270"/>
      <c r="D43" s="270"/>
      <c r="E43" s="704"/>
      <c r="F43" s="704"/>
      <c r="G43" s="704"/>
      <c r="H43" s="716"/>
      <c r="I43" s="745"/>
      <c r="J43" s="719"/>
      <c r="K43" s="704"/>
      <c r="L43" s="704"/>
      <c r="M43" s="705"/>
      <c r="O43" s="269" t="s">
        <v>496</v>
      </c>
      <c r="P43" s="270"/>
      <c r="Q43" s="270"/>
      <c r="R43" s="704"/>
      <c r="S43" s="704"/>
      <c r="T43" s="704"/>
      <c r="U43" s="716"/>
      <c r="V43" s="745"/>
      <c r="W43" s="719"/>
      <c r="X43" s="704"/>
      <c r="Y43" s="704"/>
      <c r="Z43" s="705"/>
    </row>
    <row r="44" spans="2:26" ht="15.75" thickBot="1" x14ac:dyDescent="0.3">
      <c r="B44" s="725" t="s">
        <v>276</v>
      </c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2"/>
      <c r="O44" s="725" t="s">
        <v>276</v>
      </c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2"/>
    </row>
    <row r="45" spans="2:26" ht="15" customHeight="1" thickBot="1" x14ac:dyDescent="0.3">
      <c r="B45" s="780" t="s">
        <v>497</v>
      </c>
      <c r="C45" s="781"/>
      <c r="D45" s="782"/>
      <c r="E45" s="727"/>
      <c r="F45" s="727"/>
      <c r="G45" s="727"/>
      <c r="H45" s="727"/>
      <c r="I45" s="727"/>
      <c r="J45" s="727"/>
      <c r="K45" s="727"/>
      <c r="L45" s="727"/>
      <c r="M45" s="728"/>
      <c r="O45" s="780" t="s">
        <v>497</v>
      </c>
      <c r="P45" s="781"/>
      <c r="Q45" s="782"/>
      <c r="R45" s="727"/>
      <c r="S45" s="727"/>
      <c r="T45" s="727"/>
      <c r="U45" s="727"/>
      <c r="V45" s="727"/>
      <c r="W45" s="727"/>
      <c r="X45" s="727"/>
      <c r="Y45" s="727"/>
      <c r="Z45" s="728"/>
    </row>
    <row r="46" spans="2:26" ht="15" customHeight="1" x14ac:dyDescent="0.25">
      <c r="B46" s="283" t="s">
        <v>498</v>
      </c>
      <c r="C46" s="680" t="s">
        <v>499</v>
      </c>
      <c r="D46" s="681"/>
      <c r="E46" s="730"/>
      <c r="F46" s="730"/>
      <c r="G46" s="730"/>
      <c r="H46" s="730"/>
      <c r="I46" s="730"/>
      <c r="J46" s="730"/>
      <c r="K46" s="730"/>
      <c r="L46" s="730"/>
      <c r="M46" s="731"/>
      <c r="O46" s="283" t="s">
        <v>498</v>
      </c>
      <c r="P46" s="680" t="s">
        <v>499</v>
      </c>
      <c r="Q46" s="681"/>
      <c r="R46" s="730"/>
      <c r="S46" s="730"/>
      <c r="T46" s="730"/>
      <c r="U46" s="730"/>
      <c r="V46" s="730"/>
      <c r="W46" s="730"/>
      <c r="X46" s="730"/>
      <c r="Y46" s="730"/>
      <c r="Z46" s="731"/>
    </row>
    <row r="47" spans="2:26" ht="15" customHeight="1" x14ac:dyDescent="0.25">
      <c r="B47" s="777"/>
      <c r="C47" s="778" t="s">
        <v>500</v>
      </c>
      <c r="D47" s="779"/>
      <c r="E47" s="730"/>
      <c r="F47" s="730"/>
      <c r="G47" s="730"/>
      <c r="H47" s="730"/>
      <c r="I47" s="730"/>
      <c r="J47" s="730"/>
      <c r="K47" s="730"/>
      <c r="L47" s="730"/>
      <c r="M47" s="731"/>
      <c r="O47" s="777"/>
      <c r="P47" s="778" t="s">
        <v>500</v>
      </c>
      <c r="Q47" s="779"/>
      <c r="R47" s="730"/>
      <c r="S47" s="730"/>
      <c r="T47" s="730"/>
      <c r="U47" s="730"/>
      <c r="V47" s="730"/>
      <c r="W47" s="730"/>
      <c r="X47" s="730"/>
      <c r="Y47" s="730"/>
      <c r="Z47" s="731"/>
    </row>
    <row r="48" spans="2:26" ht="15" customHeight="1" x14ac:dyDescent="0.25">
      <c r="B48" s="777"/>
      <c r="C48" s="778" t="s">
        <v>501</v>
      </c>
      <c r="D48" s="779"/>
      <c r="E48" s="730"/>
      <c r="F48" s="730"/>
      <c r="G48" s="730"/>
      <c r="H48" s="730"/>
      <c r="I48" s="730"/>
      <c r="J48" s="730"/>
      <c r="K48" s="730"/>
      <c r="L48" s="730"/>
      <c r="M48" s="731"/>
      <c r="O48" s="777"/>
      <c r="P48" s="778" t="s">
        <v>501</v>
      </c>
      <c r="Q48" s="779"/>
      <c r="R48" s="730"/>
      <c r="S48" s="730"/>
      <c r="T48" s="730"/>
      <c r="U48" s="730"/>
      <c r="V48" s="730"/>
      <c r="W48" s="730"/>
      <c r="X48" s="730"/>
      <c r="Y48" s="730"/>
      <c r="Z48" s="731"/>
    </row>
    <row r="49" spans="2:26" ht="15" customHeight="1" x14ac:dyDescent="0.25">
      <c r="B49" s="777"/>
      <c r="C49" s="778"/>
      <c r="D49" s="779"/>
      <c r="E49" s="730"/>
      <c r="F49" s="730"/>
      <c r="G49" s="730"/>
      <c r="H49" s="730"/>
      <c r="I49" s="730"/>
      <c r="J49" s="730"/>
      <c r="K49" s="730"/>
      <c r="L49" s="730"/>
      <c r="M49" s="731"/>
      <c r="O49" s="777"/>
      <c r="P49" s="778"/>
      <c r="Q49" s="779"/>
      <c r="R49" s="730"/>
      <c r="S49" s="730"/>
      <c r="T49" s="730"/>
      <c r="U49" s="730"/>
      <c r="V49" s="730"/>
      <c r="W49" s="730"/>
      <c r="X49" s="730"/>
      <c r="Y49" s="730"/>
      <c r="Z49" s="731"/>
    </row>
    <row r="50" spans="2:26" ht="15" customHeight="1" x14ac:dyDescent="0.25">
      <c r="B50" s="284" t="s">
        <v>502</v>
      </c>
      <c r="C50" s="778" t="s">
        <v>503</v>
      </c>
      <c r="D50" s="779"/>
      <c r="E50" s="730"/>
      <c r="F50" s="730"/>
      <c r="G50" s="730"/>
      <c r="H50" s="730"/>
      <c r="I50" s="730"/>
      <c r="J50" s="730"/>
      <c r="K50" s="730"/>
      <c r="L50" s="730"/>
      <c r="M50" s="731"/>
      <c r="O50" s="284" t="s">
        <v>502</v>
      </c>
      <c r="P50" s="778" t="s">
        <v>503</v>
      </c>
      <c r="Q50" s="779"/>
      <c r="R50" s="730"/>
      <c r="S50" s="730"/>
      <c r="T50" s="730"/>
      <c r="U50" s="730"/>
      <c r="V50" s="730"/>
      <c r="W50" s="730"/>
      <c r="X50" s="730"/>
      <c r="Y50" s="730"/>
      <c r="Z50" s="731"/>
    </row>
    <row r="51" spans="2:26" ht="15" customHeight="1" x14ac:dyDescent="0.25">
      <c r="B51" s="787"/>
      <c r="C51" s="778" t="s">
        <v>504</v>
      </c>
      <c r="D51" s="779"/>
      <c r="E51" s="730"/>
      <c r="F51" s="730"/>
      <c r="G51" s="730"/>
      <c r="H51" s="730"/>
      <c r="I51" s="730"/>
      <c r="J51" s="730"/>
      <c r="K51" s="730"/>
      <c r="L51" s="730"/>
      <c r="M51" s="731"/>
      <c r="O51" s="787"/>
      <c r="P51" s="778" t="s">
        <v>504</v>
      </c>
      <c r="Q51" s="779"/>
      <c r="R51" s="730"/>
      <c r="S51" s="730"/>
      <c r="T51" s="730"/>
      <c r="U51" s="730"/>
      <c r="V51" s="730"/>
      <c r="W51" s="730"/>
      <c r="X51" s="730"/>
      <c r="Y51" s="730"/>
      <c r="Z51" s="731"/>
    </row>
    <row r="52" spans="2:26" ht="15" customHeight="1" x14ac:dyDescent="0.25">
      <c r="B52" s="788"/>
      <c r="C52" s="778" t="s">
        <v>505</v>
      </c>
      <c r="D52" s="779"/>
      <c r="E52" s="730"/>
      <c r="F52" s="730"/>
      <c r="G52" s="730"/>
      <c r="H52" s="730"/>
      <c r="I52" s="730"/>
      <c r="J52" s="730"/>
      <c r="K52" s="730"/>
      <c r="L52" s="730"/>
      <c r="M52" s="731"/>
      <c r="O52" s="788"/>
      <c r="P52" s="778" t="s">
        <v>505</v>
      </c>
      <c r="Q52" s="779"/>
      <c r="R52" s="730"/>
      <c r="S52" s="730"/>
      <c r="T52" s="730"/>
      <c r="U52" s="730"/>
      <c r="V52" s="730"/>
      <c r="W52" s="730"/>
      <c r="X52" s="730"/>
      <c r="Y52" s="730"/>
      <c r="Z52" s="731"/>
    </row>
    <row r="53" spans="2:26" ht="15" customHeight="1" x14ac:dyDescent="0.25">
      <c r="B53" s="788"/>
      <c r="C53" s="778" t="s">
        <v>203</v>
      </c>
      <c r="D53" s="779"/>
      <c r="E53" s="730"/>
      <c r="F53" s="730"/>
      <c r="G53" s="730"/>
      <c r="H53" s="730"/>
      <c r="I53" s="730"/>
      <c r="J53" s="730"/>
      <c r="K53" s="730"/>
      <c r="L53" s="730"/>
      <c r="M53" s="731"/>
      <c r="O53" s="788"/>
      <c r="P53" s="778" t="s">
        <v>203</v>
      </c>
      <c r="Q53" s="779"/>
      <c r="R53" s="730"/>
      <c r="S53" s="730"/>
      <c r="T53" s="730"/>
      <c r="U53" s="730"/>
      <c r="V53" s="730"/>
      <c r="W53" s="730"/>
      <c r="X53" s="730"/>
      <c r="Y53" s="730"/>
      <c r="Z53" s="731"/>
    </row>
    <row r="54" spans="2:26" ht="15" customHeight="1" thickBot="1" x14ac:dyDescent="0.3">
      <c r="B54" s="789"/>
      <c r="C54" s="783"/>
      <c r="D54" s="784"/>
      <c r="E54" s="730"/>
      <c r="F54" s="730"/>
      <c r="G54" s="730"/>
      <c r="H54" s="730"/>
      <c r="I54" s="730"/>
      <c r="J54" s="730"/>
      <c r="K54" s="730"/>
      <c r="L54" s="730"/>
      <c r="M54" s="731"/>
      <c r="O54" s="789"/>
      <c r="P54" s="783"/>
      <c r="Q54" s="784"/>
      <c r="R54" s="730"/>
      <c r="S54" s="730"/>
      <c r="T54" s="730"/>
      <c r="U54" s="730"/>
      <c r="V54" s="730"/>
      <c r="W54" s="730"/>
      <c r="X54" s="730"/>
      <c r="Y54" s="730"/>
      <c r="Z54" s="731"/>
    </row>
    <row r="55" spans="2:26" ht="25.5" customHeight="1" thickBot="1" x14ac:dyDescent="0.3">
      <c r="B55" s="785" t="s">
        <v>506</v>
      </c>
      <c r="C55" s="786"/>
      <c r="D55" s="786"/>
      <c r="E55" s="733"/>
      <c r="F55" s="733"/>
      <c r="G55" s="733"/>
      <c r="H55" s="733"/>
      <c r="I55" s="733"/>
      <c r="J55" s="733"/>
      <c r="K55" s="733"/>
      <c r="L55" s="733"/>
      <c r="M55" s="734"/>
      <c r="O55" s="785" t="s">
        <v>506</v>
      </c>
      <c r="P55" s="786"/>
      <c r="Q55" s="786"/>
      <c r="R55" s="733"/>
      <c r="S55" s="733"/>
      <c r="T55" s="733"/>
      <c r="U55" s="733"/>
      <c r="V55" s="733"/>
      <c r="W55" s="733"/>
      <c r="X55" s="733"/>
      <c r="Y55" s="733"/>
      <c r="Z55" s="734"/>
    </row>
  </sheetData>
  <mergeCells count="260">
    <mergeCell ref="B55:D55"/>
    <mergeCell ref="O55:Q55"/>
    <mergeCell ref="C50:D50"/>
    <mergeCell ref="P50:Q50"/>
    <mergeCell ref="B51:B54"/>
    <mergeCell ref="C51:D51"/>
    <mergeCell ref="O51:O54"/>
    <mergeCell ref="P51:Q51"/>
    <mergeCell ref="C52:D52"/>
    <mergeCell ref="P52:Q52"/>
    <mergeCell ref="C53:D53"/>
    <mergeCell ref="P53:Q53"/>
    <mergeCell ref="E43:G43"/>
    <mergeCell ref="H43:J43"/>
    <mergeCell ref="K43:M43"/>
    <mergeCell ref="O47:O49"/>
    <mergeCell ref="P47:Q47"/>
    <mergeCell ref="C48:D48"/>
    <mergeCell ref="P48:Q48"/>
    <mergeCell ref="C49:D49"/>
    <mergeCell ref="P49:Q49"/>
    <mergeCell ref="B44:M44"/>
    <mergeCell ref="O44:Z44"/>
    <mergeCell ref="B45:D45"/>
    <mergeCell ref="E45:M55"/>
    <mergeCell ref="O45:Q45"/>
    <mergeCell ref="R45:Z55"/>
    <mergeCell ref="C46:D46"/>
    <mergeCell ref="P46:Q46"/>
    <mergeCell ref="B47:B49"/>
    <mergeCell ref="R43:T43"/>
    <mergeCell ref="U43:W43"/>
    <mergeCell ref="X43:Z43"/>
    <mergeCell ref="C47:D47"/>
    <mergeCell ref="C54:D54"/>
    <mergeCell ref="P54:Q54"/>
    <mergeCell ref="E42:G42"/>
    <mergeCell ref="H42:J42"/>
    <mergeCell ref="K42:M42"/>
    <mergeCell ref="R42:T42"/>
    <mergeCell ref="U42:W42"/>
    <mergeCell ref="X42:Z42"/>
    <mergeCell ref="B40:M40"/>
    <mergeCell ref="O40:Z40"/>
    <mergeCell ref="E41:G41"/>
    <mergeCell ref="H41:J41"/>
    <mergeCell ref="K41:M41"/>
    <mergeCell ref="R41:T41"/>
    <mergeCell ref="U41:W41"/>
    <mergeCell ref="X41:Z41"/>
    <mergeCell ref="Q38:S38"/>
    <mergeCell ref="T38:V38"/>
    <mergeCell ref="W38:X38"/>
    <mergeCell ref="Y38:Z38"/>
    <mergeCell ref="B39:M39"/>
    <mergeCell ref="O39:Z39"/>
    <mergeCell ref="Q37:S37"/>
    <mergeCell ref="T37:V37"/>
    <mergeCell ref="W37:X37"/>
    <mergeCell ref="Y37:Z37"/>
    <mergeCell ref="B38:C38"/>
    <mergeCell ref="D38:F38"/>
    <mergeCell ref="G38:I38"/>
    <mergeCell ref="J38:K38"/>
    <mergeCell ref="L38:M38"/>
    <mergeCell ref="O38:P38"/>
    <mergeCell ref="B37:C37"/>
    <mergeCell ref="D37:F37"/>
    <mergeCell ref="G37:I37"/>
    <mergeCell ref="J37:K37"/>
    <mergeCell ref="L37:M37"/>
    <mergeCell ref="O37:P37"/>
    <mergeCell ref="W35:X35"/>
    <mergeCell ref="Y35:Z35"/>
    <mergeCell ref="B36:K36"/>
    <mergeCell ref="L36:M36"/>
    <mergeCell ref="O36:X36"/>
    <mergeCell ref="Y36:Z36"/>
    <mergeCell ref="C35:D35"/>
    <mergeCell ref="E35:G35"/>
    <mergeCell ref="J35:K35"/>
    <mergeCell ref="L35:M35"/>
    <mergeCell ref="P35:Q35"/>
    <mergeCell ref="R35:T35"/>
    <mergeCell ref="W33:X33"/>
    <mergeCell ref="Y33:Z33"/>
    <mergeCell ref="C34:D34"/>
    <mergeCell ref="E34:G34"/>
    <mergeCell ref="J34:K34"/>
    <mergeCell ref="L34:M34"/>
    <mergeCell ref="P34:Q34"/>
    <mergeCell ref="R34:T34"/>
    <mergeCell ref="W34:X34"/>
    <mergeCell ref="Y34:Z34"/>
    <mergeCell ref="C33:D33"/>
    <mergeCell ref="E33:G33"/>
    <mergeCell ref="J33:K33"/>
    <mergeCell ref="L33:M33"/>
    <mergeCell ref="P33:Q33"/>
    <mergeCell ref="R33:T33"/>
    <mergeCell ref="W31:X31"/>
    <mergeCell ref="Y31:Z31"/>
    <mergeCell ref="C32:D32"/>
    <mergeCell ref="E32:G32"/>
    <mergeCell ref="J32:K32"/>
    <mergeCell ref="L32:M32"/>
    <mergeCell ref="P32:Q32"/>
    <mergeCell ref="R32:T32"/>
    <mergeCell ref="W32:X32"/>
    <mergeCell ref="Y32:Z32"/>
    <mergeCell ref="C31:D31"/>
    <mergeCell ref="E31:G31"/>
    <mergeCell ref="J31:K31"/>
    <mergeCell ref="L31:M31"/>
    <mergeCell ref="P31:Q31"/>
    <mergeCell ref="R31:T31"/>
    <mergeCell ref="W29:X29"/>
    <mergeCell ref="Y29:Z29"/>
    <mergeCell ref="C30:D30"/>
    <mergeCell ref="E30:G30"/>
    <mergeCell ref="J30:K30"/>
    <mergeCell ref="L30:M30"/>
    <mergeCell ref="P30:Q30"/>
    <mergeCell ref="R30:T30"/>
    <mergeCell ref="W30:X30"/>
    <mergeCell ref="Y30:Z30"/>
    <mergeCell ref="C29:D29"/>
    <mergeCell ref="E29:G29"/>
    <mergeCell ref="J29:K29"/>
    <mergeCell ref="L29:M29"/>
    <mergeCell ref="P29:Q29"/>
    <mergeCell ref="R29:T29"/>
    <mergeCell ref="W27:X27"/>
    <mergeCell ref="Y27:Z27"/>
    <mergeCell ref="C28:D28"/>
    <mergeCell ref="E28:G28"/>
    <mergeCell ref="J28:K28"/>
    <mergeCell ref="L28:M28"/>
    <mergeCell ref="P28:Q28"/>
    <mergeCell ref="R28:T28"/>
    <mergeCell ref="W28:X28"/>
    <mergeCell ref="Y28:Z28"/>
    <mergeCell ref="C27:D27"/>
    <mergeCell ref="E27:G27"/>
    <mergeCell ref="J27:K27"/>
    <mergeCell ref="L27:M27"/>
    <mergeCell ref="P27:Q27"/>
    <mergeCell ref="R27:T27"/>
    <mergeCell ref="W25:X25"/>
    <mergeCell ref="Y25:Z25"/>
    <mergeCell ref="C26:D26"/>
    <mergeCell ref="E26:G26"/>
    <mergeCell ref="J26:K26"/>
    <mergeCell ref="L26:M26"/>
    <mergeCell ref="P26:Q26"/>
    <mergeCell ref="R26:T26"/>
    <mergeCell ref="W26:X26"/>
    <mergeCell ref="Y26:Z26"/>
    <mergeCell ref="C25:D25"/>
    <mergeCell ref="E25:G25"/>
    <mergeCell ref="J25:K25"/>
    <mergeCell ref="L25:M25"/>
    <mergeCell ref="P25:Q25"/>
    <mergeCell ref="R25:T25"/>
    <mergeCell ref="C24:D24"/>
    <mergeCell ref="E24:G24"/>
    <mergeCell ref="J24:K24"/>
    <mergeCell ref="L24:M24"/>
    <mergeCell ref="P24:Q24"/>
    <mergeCell ref="R24:T24"/>
    <mergeCell ref="W24:X24"/>
    <mergeCell ref="Y24:Z24"/>
    <mergeCell ref="C23:D23"/>
    <mergeCell ref="E23:G23"/>
    <mergeCell ref="J23:K23"/>
    <mergeCell ref="L23:M23"/>
    <mergeCell ref="P23:Q23"/>
    <mergeCell ref="R23:T23"/>
    <mergeCell ref="C22:D22"/>
    <mergeCell ref="E22:G22"/>
    <mergeCell ref="J22:K22"/>
    <mergeCell ref="L22:M22"/>
    <mergeCell ref="P22:Q22"/>
    <mergeCell ref="R22:T22"/>
    <mergeCell ref="W22:X22"/>
    <mergeCell ref="Y22:Z22"/>
    <mergeCell ref="W23:X23"/>
    <mergeCell ref="Y23:Z23"/>
    <mergeCell ref="C21:D21"/>
    <mergeCell ref="E21:G21"/>
    <mergeCell ref="J21:K21"/>
    <mergeCell ref="L21:M21"/>
    <mergeCell ref="P21:Q21"/>
    <mergeCell ref="R21:T21"/>
    <mergeCell ref="W21:X21"/>
    <mergeCell ref="Y21:Z21"/>
    <mergeCell ref="C20:D20"/>
    <mergeCell ref="E20:G20"/>
    <mergeCell ref="J20:K20"/>
    <mergeCell ref="L20:M20"/>
    <mergeCell ref="P20:Q20"/>
    <mergeCell ref="C7:D7"/>
    <mergeCell ref="I7:M7"/>
    <mergeCell ref="P7:Q7"/>
    <mergeCell ref="R20:T20"/>
    <mergeCell ref="W20:X20"/>
    <mergeCell ref="Y20:Z20"/>
    <mergeCell ref="V7:Z7"/>
    <mergeCell ref="C8:D8"/>
    <mergeCell ref="I8:M19"/>
    <mergeCell ref="P8:Q8"/>
    <mergeCell ref="V8:Z19"/>
    <mergeCell ref="C9:D9"/>
    <mergeCell ref="P9:Q9"/>
    <mergeCell ref="C13:D13"/>
    <mergeCell ref="P13:Q13"/>
    <mergeCell ref="C14:D14"/>
    <mergeCell ref="P14:Q14"/>
    <mergeCell ref="C15:D15"/>
    <mergeCell ref="P15:Q15"/>
    <mergeCell ref="C10:D10"/>
    <mergeCell ref="P10:Q10"/>
    <mergeCell ref="C11:D11"/>
    <mergeCell ref="P11:Q11"/>
    <mergeCell ref="C12:D12"/>
    <mergeCell ref="P12:Q12"/>
    <mergeCell ref="C19:D19"/>
    <mergeCell ref="P19:Q19"/>
    <mergeCell ref="C16:D16"/>
    <mergeCell ref="P16:Q16"/>
    <mergeCell ref="C17:D17"/>
    <mergeCell ref="P17:Q17"/>
    <mergeCell ref="C18:D18"/>
    <mergeCell ref="P18:Q18"/>
    <mergeCell ref="D6:F6"/>
    <mergeCell ref="G6:J6"/>
    <mergeCell ref="L6:M6"/>
    <mergeCell ref="Q6:S6"/>
    <mergeCell ref="T6:W6"/>
    <mergeCell ref="Y6:Z6"/>
    <mergeCell ref="D5:F5"/>
    <mergeCell ref="G5:J5"/>
    <mergeCell ref="L5:M5"/>
    <mergeCell ref="Q5:S5"/>
    <mergeCell ref="T5:W5"/>
    <mergeCell ref="Y5:Z5"/>
    <mergeCell ref="D4:F4"/>
    <mergeCell ref="G4:J4"/>
    <mergeCell ref="L4:M4"/>
    <mergeCell ref="Q4:S4"/>
    <mergeCell ref="T4:W4"/>
    <mergeCell ref="Y4:Z4"/>
    <mergeCell ref="B2:M2"/>
    <mergeCell ref="O2:Z2"/>
    <mergeCell ref="B3:D3"/>
    <mergeCell ref="E3:H3"/>
    <mergeCell ref="I3:M3"/>
    <mergeCell ref="O3:Q3"/>
    <mergeCell ref="R3:U3"/>
    <mergeCell ref="V3:Z3"/>
  </mergeCells>
  <pageMargins left="0.7" right="0.7" top="0.75" bottom="0.75" header="0.3" footer="0.3"/>
  <pageSetup scale="46" orientation="landscape" r:id="rId1"/>
  <ignoredErrors>
    <ignoredError sqref="T18 G14 T14 G18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pageSetUpPr fitToPage="1"/>
  </sheetPr>
  <dimension ref="A1:CR128"/>
  <sheetViews>
    <sheetView view="pageBreakPreview" topLeftCell="A77" zoomScale="70" zoomScaleNormal="60" zoomScaleSheetLayoutView="70" workbookViewId="0">
      <selection activeCell="BD71" sqref="BD71"/>
    </sheetView>
  </sheetViews>
  <sheetFormatPr defaultColWidth="9.140625" defaultRowHeight="12.75" x14ac:dyDescent="0.2"/>
  <cols>
    <col min="1" max="1" width="2.85546875" style="45" customWidth="1"/>
    <col min="2" max="2" width="15.85546875" style="45" customWidth="1"/>
    <col min="3" max="8" width="8.140625" style="45" customWidth="1"/>
    <col min="9" max="9" width="3.42578125" style="45" customWidth="1"/>
    <col min="10" max="13" width="8.140625" style="45" customWidth="1"/>
    <col min="14" max="14" width="14" style="45" customWidth="1"/>
    <col min="15" max="16" width="2.140625" style="45" customWidth="1"/>
    <col min="17" max="17" width="4.140625" style="45" customWidth="1"/>
    <col min="18" max="24" width="2.140625" style="45" customWidth="1"/>
    <col min="25" max="25" width="3.42578125" style="45" customWidth="1"/>
    <col min="26" max="26" width="2.42578125" style="45" customWidth="1"/>
    <col min="27" max="28" width="2.140625" style="45" customWidth="1"/>
    <col min="29" max="29" width="3.42578125" style="45" customWidth="1"/>
    <col min="30" max="30" width="2.5703125" style="45" customWidth="1"/>
    <col min="31" max="49" width="2.140625" style="45" customWidth="1"/>
    <col min="50" max="50" width="2.42578125" style="45" customWidth="1"/>
    <col min="51" max="54" width="2.140625" style="45" customWidth="1"/>
    <col min="55" max="55" width="9.140625" style="45"/>
    <col min="56" max="56" width="9.140625" style="45" customWidth="1"/>
    <col min="57" max="16384" width="9.140625" style="45"/>
  </cols>
  <sheetData>
    <row r="1" spans="2:52" ht="22.5" customHeight="1" x14ac:dyDescent="0.25">
      <c r="B1" s="100" t="s">
        <v>179</v>
      </c>
      <c r="C1" s="464"/>
      <c r="D1" s="464"/>
      <c r="G1" s="133"/>
      <c r="H1" s="239"/>
      <c r="I1" s="239"/>
      <c r="J1" s="133" t="s">
        <v>226</v>
      </c>
      <c r="M1" s="45" t="s">
        <v>139</v>
      </c>
      <c r="O1" s="46" t="s">
        <v>179</v>
      </c>
      <c r="P1" s="47"/>
      <c r="Q1" s="47"/>
      <c r="R1" s="139"/>
      <c r="S1" s="476"/>
      <c r="T1" s="476"/>
      <c r="U1" s="476"/>
      <c r="V1" s="476"/>
      <c r="W1" s="476"/>
      <c r="X1" s="476"/>
      <c r="Y1" s="476"/>
      <c r="Z1" s="139"/>
      <c r="AA1" s="218"/>
      <c r="AB1" s="218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20"/>
      <c r="AU1" s="55"/>
      <c r="AV1" s="56"/>
      <c r="AW1" s="56"/>
      <c r="AX1" s="56"/>
      <c r="AY1" s="56"/>
      <c r="AZ1" s="61"/>
    </row>
    <row r="2" spans="2:52" ht="18.75" customHeight="1" x14ac:dyDescent="0.25">
      <c r="B2" s="100" t="s">
        <v>190</v>
      </c>
      <c r="C2" s="49"/>
      <c r="G2" s="133"/>
      <c r="H2" s="239"/>
      <c r="I2" s="239"/>
      <c r="J2" s="133" t="s">
        <v>227</v>
      </c>
      <c r="M2" s="45" t="s">
        <v>137</v>
      </c>
      <c r="O2" s="46" t="s">
        <v>190</v>
      </c>
      <c r="P2" s="47"/>
      <c r="Q2" s="47"/>
      <c r="R2" s="47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476"/>
      <c r="AQ2" s="476"/>
      <c r="AR2" s="476"/>
      <c r="AS2" s="476"/>
      <c r="AT2" s="477"/>
      <c r="AU2" s="59"/>
      <c r="AZ2" s="60"/>
    </row>
    <row r="3" spans="2:52" ht="18.75" customHeight="1" x14ac:dyDescent="0.25">
      <c r="B3" s="100" t="s">
        <v>191</v>
      </c>
      <c r="C3" s="50"/>
      <c r="G3" s="133"/>
      <c r="H3" s="239"/>
      <c r="I3" s="239"/>
      <c r="J3" s="133" t="s">
        <v>228</v>
      </c>
      <c r="M3" s="45" t="s">
        <v>139</v>
      </c>
      <c r="O3" s="46" t="s">
        <v>191</v>
      </c>
      <c r="P3" s="47"/>
      <c r="Q3" s="47"/>
      <c r="R3" s="47"/>
      <c r="S3" s="488"/>
      <c r="T3" s="488"/>
      <c r="U3" s="488"/>
      <c r="V3" s="488"/>
      <c r="W3" s="488"/>
      <c r="X3" s="488"/>
      <c r="Y3" s="488"/>
      <c r="Z3" s="488"/>
      <c r="AA3" s="488"/>
      <c r="AB3" s="488"/>
      <c r="AC3" s="46" t="s">
        <v>258</v>
      </c>
      <c r="AD3" s="47"/>
      <c r="AE3" s="493" t="str">
        <f>IF(ISBLANK('Start Here'!B14),"",'Start Here'!B14)</f>
        <v/>
      </c>
      <c r="AF3" s="493"/>
      <c r="AG3" s="493"/>
      <c r="AH3" s="139"/>
      <c r="AI3" s="139"/>
      <c r="AJ3" s="139"/>
      <c r="AK3" s="139"/>
      <c r="AL3" s="139"/>
      <c r="AM3" s="139"/>
      <c r="AN3" s="139"/>
      <c r="AO3" s="47"/>
      <c r="AP3" s="47"/>
      <c r="AQ3" s="47"/>
      <c r="AR3" s="47"/>
      <c r="AS3" s="47"/>
      <c r="AT3" s="48"/>
      <c r="AU3" s="59"/>
      <c r="AZ3" s="60"/>
    </row>
    <row r="4" spans="2:52" ht="21" customHeight="1" thickBot="1" x14ac:dyDescent="0.3">
      <c r="B4" s="100" t="s">
        <v>192</v>
      </c>
      <c r="C4" s="49"/>
      <c r="D4" s="49"/>
      <c r="E4" s="49"/>
      <c r="F4" s="49"/>
      <c r="G4" s="49"/>
      <c r="K4" s="49"/>
      <c r="O4" s="46" t="s">
        <v>192</v>
      </c>
      <c r="P4" s="124"/>
      <c r="Q4" s="47"/>
      <c r="R4" s="47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6"/>
      <c r="AP4" s="476"/>
      <c r="AQ4" s="476"/>
      <c r="AR4" s="476"/>
      <c r="AS4" s="476"/>
      <c r="AT4" s="477"/>
      <c r="AU4" s="68"/>
      <c r="AV4" s="66"/>
      <c r="AW4" s="66"/>
      <c r="AX4" s="66"/>
      <c r="AY4" s="66"/>
      <c r="AZ4" s="67"/>
    </row>
    <row r="5" spans="2:52" ht="15.75" customHeight="1" thickTop="1" x14ac:dyDescent="0.2">
      <c r="B5" s="466" t="s">
        <v>4</v>
      </c>
      <c r="C5" s="470" t="s">
        <v>193</v>
      </c>
      <c r="D5" s="470"/>
      <c r="E5" s="470" t="s">
        <v>214</v>
      </c>
      <c r="F5" s="470"/>
      <c r="G5" s="470" t="s">
        <v>215</v>
      </c>
      <c r="H5" s="470"/>
      <c r="I5" s="114"/>
      <c r="J5" s="468" t="s">
        <v>231</v>
      </c>
      <c r="K5" s="468"/>
      <c r="L5" s="468" t="s">
        <v>232</v>
      </c>
      <c r="M5" s="469"/>
      <c r="O5" s="52" t="s">
        <v>122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Z5" s="60"/>
    </row>
    <row r="6" spans="2:52" ht="13.5" thickBot="1" x14ac:dyDescent="0.25">
      <c r="B6" s="467"/>
      <c r="C6" s="137" t="s">
        <v>212</v>
      </c>
      <c r="D6" s="137" t="s">
        <v>213</v>
      </c>
      <c r="E6" s="137" t="s">
        <v>61</v>
      </c>
      <c r="F6" s="137" t="s">
        <v>216</v>
      </c>
      <c r="G6" s="137" t="s">
        <v>61</v>
      </c>
      <c r="H6" s="137" t="s">
        <v>216</v>
      </c>
      <c r="I6" s="109"/>
      <c r="J6" s="137" t="s">
        <v>224</v>
      </c>
      <c r="K6" s="137" t="s">
        <v>225</v>
      </c>
      <c r="L6" s="137" t="s">
        <v>229</v>
      </c>
      <c r="M6" s="138" t="s">
        <v>230</v>
      </c>
      <c r="O6" s="55" t="s">
        <v>236</v>
      </c>
      <c r="P6" s="56"/>
      <c r="Q6" s="56"/>
      <c r="R6" s="56"/>
      <c r="S6" s="57"/>
      <c r="T6" s="492" t="str">
        <f>IF(ISBLANK('Start Here'!B22),"",'Start Here'!B22)</f>
        <v/>
      </c>
      <c r="U6" s="492"/>
      <c r="V6" s="492"/>
      <c r="W6" s="492"/>
      <c r="X6" s="56" t="s">
        <v>259</v>
      </c>
      <c r="Y6" s="57"/>
      <c r="Z6" s="58"/>
      <c r="AA6" s="59"/>
      <c r="AZ6" s="60"/>
    </row>
    <row r="7" spans="2:52" ht="13.5" thickTop="1" x14ac:dyDescent="0.2">
      <c r="B7" s="134" t="s">
        <v>217</v>
      </c>
      <c r="C7" s="135"/>
      <c r="D7" s="135"/>
      <c r="E7" s="136"/>
      <c r="F7" s="136"/>
      <c r="G7" s="136"/>
      <c r="H7" s="136"/>
      <c r="I7" s="109"/>
      <c r="J7" s="206"/>
      <c r="K7" s="206"/>
      <c r="L7" s="206"/>
      <c r="M7" s="207"/>
      <c r="O7" s="55" t="s">
        <v>260</v>
      </c>
      <c r="P7" s="56"/>
      <c r="Q7" s="56"/>
      <c r="R7" s="56"/>
      <c r="S7" s="56"/>
      <c r="T7" s="56"/>
      <c r="U7" s="61"/>
      <c r="V7" s="55" t="s">
        <v>612</v>
      </c>
      <c r="W7" s="56"/>
      <c r="X7" s="56"/>
      <c r="Y7" s="56"/>
      <c r="Z7" s="61"/>
      <c r="AA7" s="55" t="s">
        <v>194</v>
      </c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61"/>
    </row>
    <row r="8" spans="2:52" x14ac:dyDescent="0.2">
      <c r="B8" s="107" t="s">
        <v>254</v>
      </c>
      <c r="C8" s="74"/>
      <c r="D8" s="74"/>
      <c r="E8" s="102"/>
      <c r="F8" s="102"/>
      <c r="G8" s="102"/>
      <c r="H8" s="102"/>
      <c r="I8" s="109"/>
      <c r="J8" s="208"/>
      <c r="K8" s="208"/>
      <c r="L8" s="208"/>
      <c r="M8" s="209"/>
      <c r="O8" s="59"/>
      <c r="P8" s="473" t="str">
        <f>IF(ISBLANK('Start Here'!B23),"",('Start Here'!B23))</f>
        <v/>
      </c>
      <c r="Q8" s="473"/>
      <c r="R8" s="62" t="s">
        <v>195</v>
      </c>
      <c r="S8" s="474" t="str">
        <f>IF(ISBLANK('Start Here'!D23),"",'Start Here'!D23)</f>
        <v/>
      </c>
      <c r="T8" s="474"/>
      <c r="U8" s="475"/>
      <c r="V8" s="59"/>
      <c r="W8" s="478" t="str">
        <f>IF(ISBLANK('Start Here'!B24),"",'Start Here'!B24)</f>
        <v/>
      </c>
      <c r="X8" s="478"/>
      <c r="Y8" s="478"/>
      <c r="Z8" s="60"/>
      <c r="AA8" s="59"/>
      <c r="AB8" s="494" t="str">
        <f>IF(ISBLANK('Start Here'!B25),"",'Start Here'!B25)</f>
        <v/>
      </c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4"/>
      <c r="AS8" s="494"/>
      <c r="AT8" s="494"/>
      <c r="AU8" s="494"/>
      <c r="AV8" s="494"/>
      <c r="AW8" s="494"/>
      <c r="AX8" s="494"/>
      <c r="AY8" s="64"/>
      <c r="AZ8" s="65"/>
    </row>
    <row r="9" spans="2:52" x14ac:dyDescent="0.2">
      <c r="B9" s="108" t="s">
        <v>218</v>
      </c>
      <c r="C9" s="74"/>
      <c r="D9" s="110"/>
      <c r="E9" s="74"/>
      <c r="F9" s="110"/>
      <c r="G9" s="74"/>
      <c r="H9" s="111"/>
      <c r="I9" s="109"/>
      <c r="J9" s="105"/>
      <c r="K9" s="105"/>
      <c r="L9" s="74"/>
      <c r="M9" s="238"/>
      <c r="O9" s="55" t="s">
        <v>264</v>
      </c>
      <c r="P9" s="56"/>
      <c r="Q9" s="56"/>
      <c r="R9" s="56"/>
      <c r="S9" s="56"/>
      <c r="T9" s="56"/>
      <c r="U9" s="61"/>
      <c r="V9" s="55" t="s">
        <v>196</v>
      </c>
      <c r="W9" s="56"/>
      <c r="X9" s="56"/>
      <c r="Y9" s="56"/>
      <c r="Z9" s="61"/>
      <c r="AA9" s="55" t="s">
        <v>261</v>
      </c>
      <c r="AB9" s="56"/>
      <c r="AC9" s="56"/>
      <c r="AD9" s="56"/>
      <c r="AI9" s="60"/>
      <c r="AJ9" s="59" t="s">
        <v>197</v>
      </c>
      <c r="AR9" s="60"/>
      <c r="AS9" s="45" t="s">
        <v>263</v>
      </c>
      <c r="AV9" s="60"/>
      <c r="AW9" s="485" t="s">
        <v>611</v>
      </c>
      <c r="AX9" s="486"/>
      <c r="AY9" s="486"/>
      <c r="AZ9" s="487"/>
    </row>
    <row r="10" spans="2:52" x14ac:dyDescent="0.2">
      <c r="B10" s="107" t="s">
        <v>255</v>
      </c>
      <c r="C10" s="74"/>
      <c r="D10" s="74"/>
      <c r="E10" s="102"/>
      <c r="F10" s="102"/>
      <c r="G10" s="102"/>
      <c r="H10" s="102"/>
      <c r="I10" s="109"/>
      <c r="J10" s="212"/>
      <c r="K10" s="212"/>
      <c r="L10" s="233"/>
      <c r="M10" s="234"/>
      <c r="O10" s="481" t="str">
        <f>IF(ISBLANK('Start Here'!B27),"",'Start Here'!B27)</f>
        <v/>
      </c>
      <c r="P10" s="478"/>
      <c r="Q10" s="478"/>
      <c r="R10" s="62" t="s">
        <v>195</v>
      </c>
      <c r="S10" s="483" t="str">
        <f>IF(ISBLANK('Start Here'!B28),"",'Start Here'!B28)</f>
        <v/>
      </c>
      <c r="T10" s="483"/>
      <c r="U10" s="484"/>
      <c r="V10" s="481" t="str">
        <f>IF(ISBLANK('Start Here'!B31),"",'Start Here'!B31)</f>
        <v/>
      </c>
      <c r="W10" s="478"/>
      <c r="X10" s="478"/>
      <c r="Y10" s="478"/>
      <c r="Z10" s="482"/>
      <c r="AA10" s="59"/>
      <c r="AC10" s="478" t="str">
        <f>IF(ISBLANK('Start Here'!B29),"",'Start Here'!B29)</f>
        <v/>
      </c>
      <c r="AD10" s="478"/>
      <c r="AE10" s="478"/>
      <c r="AF10" s="478"/>
      <c r="AG10" s="478"/>
      <c r="AI10" s="60"/>
      <c r="AJ10" s="59"/>
      <c r="AK10" s="478" t="str">
        <f>IF(ISBLANK('Start Here'!B33),"",'Start Here'!B33)</f>
        <v/>
      </c>
      <c r="AL10" s="478"/>
      <c r="AM10" s="478"/>
      <c r="AN10" s="45" t="s">
        <v>198</v>
      </c>
      <c r="AO10" s="478"/>
      <c r="AP10" s="478"/>
      <c r="AQ10" s="478"/>
      <c r="AR10" s="60" t="s">
        <v>199</v>
      </c>
      <c r="AS10" s="481" t="str">
        <f>IF(ISBLANK('Start Here'!B35),"",'Start Here'!B35)</f>
        <v/>
      </c>
      <c r="AT10" s="478"/>
      <c r="AU10" s="478"/>
      <c r="AV10" s="482"/>
      <c r="AW10" s="481" t="str">
        <f>IF(ISBLANK('Start Here'!B30),"",'Start Here'!B30)</f>
        <v/>
      </c>
      <c r="AX10" s="478"/>
      <c r="AY10" s="478"/>
      <c r="AZ10" s="482"/>
    </row>
    <row r="11" spans="2:52" x14ac:dyDescent="0.2">
      <c r="B11" s="108" t="s">
        <v>219</v>
      </c>
      <c r="C11" s="74"/>
      <c r="D11" s="110"/>
      <c r="E11" s="74"/>
      <c r="F11" s="110"/>
      <c r="G11" s="74"/>
      <c r="H11" s="111"/>
      <c r="I11" s="109"/>
      <c r="J11" s="105"/>
      <c r="K11" s="105"/>
      <c r="L11" s="74"/>
      <c r="M11" s="238"/>
      <c r="O11" s="59" t="s">
        <v>200</v>
      </c>
      <c r="U11" s="60"/>
      <c r="V11" s="45" t="s">
        <v>200</v>
      </c>
      <c r="AA11" s="59"/>
      <c r="AI11" s="60"/>
      <c r="AJ11" s="59"/>
      <c r="AS11" s="59"/>
      <c r="AV11" s="60"/>
      <c r="AZ11" s="60"/>
    </row>
    <row r="12" spans="2:52" ht="17.25" customHeight="1" x14ac:dyDescent="0.2">
      <c r="B12" s="115"/>
      <c r="C12" s="103"/>
      <c r="D12" s="104"/>
      <c r="E12" s="104"/>
      <c r="F12" s="104"/>
      <c r="G12" s="104"/>
      <c r="H12" s="104"/>
      <c r="I12" s="112"/>
      <c r="J12" s="210"/>
      <c r="K12" s="210"/>
      <c r="L12" s="235"/>
      <c r="M12" s="236"/>
      <c r="O12" s="479"/>
      <c r="P12" s="480"/>
      <c r="Q12" s="66"/>
      <c r="R12" s="66"/>
      <c r="S12" s="66"/>
      <c r="T12" s="66"/>
      <c r="U12" s="67"/>
      <c r="V12" s="479"/>
      <c r="W12" s="480"/>
      <c r="X12" s="480"/>
      <c r="Y12" s="480"/>
      <c r="Z12" s="67"/>
      <c r="AA12" s="68"/>
      <c r="AB12" s="66"/>
      <c r="AC12" s="66"/>
      <c r="AD12" s="66"/>
      <c r="AE12" s="66"/>
      <c r="AF12" s="66"/>
      <c r="AG12" s="66"/>
      <c r="AH12" s="66"/>
      <c r="AI12" s="67"/>
      <c r="AJ12" s="68"/>
      <c r="AK12" s="66"/>
      <c r="AL12" s="66"/>
      <c r="AM12" s="66"/>
      <c r="AN12" s="66"/>
      <c r="AO12" s="66"/>
      <c r="AP12" s="66"/>
      <c r="AQ12" s="66"/>
      <c r="AR12" s="67"/>
      <c r="AS12" s="68"/>
      <c r="AT12" s="66"/>
      <c r="AU12" s="66"/>
      <c r="AV12" s="67"/>
      <c r="AW12" s="66"/>
      <c r="AX12" s="66"/>
      <c r="AY12" s="66"/>
      <c r="AZ12" s="67"/>
    </row>
    <row r="13" spans="2:52" x14ac:dyDescent="0.2">
      <c r="B13" s="107" t="s">
        <v>222</v>
      </c>
      <c r="C13" s="74" t="str">
        <f>IF('Start Here'!B11="NO","",'Chart E W&amp;B Form'!D11)</f>
        <v/>
      </c>
      <c r="D13" s="74" t="str">
        <f>IF('Start Here'!B11="NO","",C13*(1/'Reference Tables'!$B$239))</f>
        <v/>
      </c>
      <c r="E13" s="106"/>
      <c r="F13" s="106"/>
      <c r="G13" s="106"/>
      <c r="H13" s="106"/>
      <c r="I13" s="109"/>
      <c r="J13" s="212"/>
      <c r="K13" s="212"/>
      <c r="L13" s="233"/>
      <c r="M13" s="234"/>
      <c r="O13" s="59" t="s">
        <v>201</v>
      </c>
      <c r="AZ13" s="60"/>
    </row>
    <row r="14" spans="2:52" x14ac:dyDescent="0.2">
      <c r="B14" s="107" t="s">
        <v>256</v>
      </c>
      <c r="C14" s="74" t="str">
        <f>IF('Start Here'!B11="NO","",'Chart E W&amp;B Form'!D30)</f>
        <v/>
      </c>
      <c r="D14" s="74" t="str">
        <f>IF('Start Here'!B11="NO","",C14*(1/'Reference Tables'!$B$239))</f>
        <v/>
      </c>
      <c r="E14" s="106"/>
      <c r="F14" s="106"/>
      <c r="G14" s="106"/>
      <c r="H14" s="106"/>
      <c r="I14" s="109"/>
      <c r="J14" s="212"/>
      <c r="K14" s="212"/>
      <c r="L14" s="233"/>
      <c r="M14" s="234"/>
      <c r="O14" s="59"/>
      <c r="P14" s="63"/>
      <c r="Q14" s="70" t="str">
        <f>IF(ISBLANK('Start Here'!B36),"",'Start Here'!B36)</f>
        <v/>
      </c>
      <c r="R14" s="63"/>
      <c r="S14" s="63"/>
      <c r="T14" s="63"/>
      <c r="U14" s="63"/>
      <c r="V14" s="70" t="str">
        <f>IF(ISBLANK('Start Here'!F36),"",'Start Here'!F36)</f>
        <v/>
      </c>
      <c r="W14" s="63"/>
      <c r="X14" s="70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0"/>
    </row>
    <row r="15" spans="2:52" x14ac:dyDescent="0.2">
      <c r="B15" s="108" t="s">
        <v>220</v>
      </c>
      <c r="C15" s="74" t="str">
        <f>IF('Start Here'!B11="NO","",'Chart E W&amp;B Form'!D31)</f>
        <v/>
      </c>
      <c r="D15" s="110" t="str">
        <f>IF('Start Here'!B11="NO","",C15*(1/'Reference Tables'!$B$239))</f>
        <v/>
      </c>
      <c r="E15" s="105" t="str">
        <f>IF('Start Here'!B11="NO","",'Chart E W&amp;B Form'!I31)</f>
        <v/>
      </c>
      <c r="F15" s="110" t="str">
        <f>IF('Start Here'!B11="NO","",E15*(1/'Reference Tables'!$B$240))</f>
        <v/>
      </c>
      <c r="G15" s="105" t="str">
        <f>IF('Start Here'!B11="NO","",'Chart E W&amp;B Form'!J31)</f>
        <v/>
      </c>
      <c r="H15" s="111" t="str">
        <f>IF('Start Here'!B11="NO","",G15*(1/'Reference Tables'!$B$240))</f>
        <v/>
      </c>
      <c r="I15" s="109"/>
      <c r="J15" s="211">
        <f>'Performance Calculations'!E6</f>
        <v>108.5</v>
      </c>
      <c r="K15" s="211">
        <f>'Performance Calculations'!F6</f>
        <v>100</v>
      </c>
      <c r="L15" s="233"/>
      <c r="M15" s="232" t="e">
        <f>'Performance Calculations'!G6</f>
        <v>#VALUE!</v>
      </c>
      <c r="O15" s="59"/>
      <c r="P15" s="63"/>
      <c r="Q15" s="70" t="str">
        <f>IF(ISBLANK('Start Here'!B37),"",'Start Here'!B37)</f>
        <v/>
      </c>
      <c r="V15" s="70" t="str">
        <f>IF(ISBLANK('Start Here'!F37),"",'Start Here'!F37)</f>
        <v/>
      </c>
      <c r="X15" s="70"/>
      <c r="AY15" s="63"/>
      <c r="AZ15" s="60"/>
    </row>
    <row r="16" spans="2:52" x14ac:dyDescent="0.2">
      <c r="B16" s="107" t="s">
        <v>223</v>
      </c>
      <c r="C16" s="74" t="str">
        <f>IF('Start Here'!B12="NO","",'Chart E W&amp;B Form'!D22)</f>
        <v/>
      </c>
      <c r="D16" s="74" t="str">
        <f>IF('Start Here'!B12="NO","",C16*(1/'Reference Tables'!$B$239))</f>
        <v/>
      </c>
      <c r="E16" s="106"/>
      <c r="F16" s="106"/>
      <c r="G16" s="106"/>
      <c r="H16" s="106"/>
      <c r="I16" s="109"/>
      <c r="J16" s="212"/>
      <c r="K16" s="212"/>
      <c r="L16" s="233"/>
      <c r="M16" s="234"/>
      <c r="O16" s="59"/>
      <c r="P16" s="63"/>
      <c r="Q16" s="70" t="str">
        <f>IF(ISBLANK('Start Here'!B38),"",'Start Here'!B38)</f>
        <v/>
      </c>
      <c r="R16" s="63"/>
      <c r="S16" s="63"/>
      <c r="T16" s="63"/>
      <c r="U16" s="63"/>
      <c r="V16" s="70" t="str">
        <f>IF(ISBLANK('Start Here'!F38),"",'Start Here'!F38)</f>
        <v/>
      </c>
      <c r="W16" s="63"/>
      <c r="X16" s="70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0"/>
    </row>
    <row r="17" spans="2:52" ht="13.5" thickBot="1" x14ac:dyDescent="0.25">
      <c r="B17" s="107" t="s">
        <v>257</v>
      </c>
      <c r="C17" s="74" t="str">
        <f>IF('Start Here'!B12="NO","",'Chart E W&amp;B Form'!D32)</f>
        <v/>
      </c>
      <c r="D17" s="74" t="str">
        <f>IF('Start Here'!B12="NO","",C17*(1/'Reference Tables'!$B$239))</f>
        <v/>
      </c>
      <c r="E17" s="106"/>
      <c r="F17" s="106"/>
      <c r="G17" s="106"/>
      <c r="H17" s="106"/>
      <c r="I17" s="109"/>
      <c r="J17" s="212"/>
      <c r="K17" s="212"/>
      <c r="L17" s="233"/>
      <c r="M17" s="234"/>
      <c r="O17" s="71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3"/>
    </row>
    <row r="18" spans="2:52" ht="13.5" thickTop="1" x14ac:dyDescent="0.2">
      <c r="B18" s="108" t="s">
        <v>221</v>
      </c>
      <c r="C18" s="74" t="str">
        <f>IF('Start Here'!B12="NO","",'Chart E W&amp;B Form'!D33)</f>
        <v/>
      </c>
      <c r="D18" s="110" t="str">
        <f>IF('Start Here'!B12="NO","",C18*(1/'Reference Tables'!$B$239))</f>
        <v/>
      </c>
      <c r="E18" s="105" t="str">
        <f>IF('Start Here'!B12="NO","",'Chart E W&amp;B Form'!I33)</f>
        <v/>
      </c>
      <c r="F18" s="110" t="str">
        <f>IF('Start Here'!B12="NO","",E18*(1/'Reference Tables'!$B$240))</f>
        <v/>
      </c>
      <c r="G18" s="105" t="str">
        <f>IF('Start Here'!B12="NO","",'Chart E W&amp;B Form'!J33)</f>
        <v/>
      </c>
      <c r="H18" s="111" t="str">
        <f>IF('Start Here'!B12="NO","",G18*(1/'Reference Tables'!$B$240))</f>
        <v/>
      </c>
      <c r="I18" s="113"/>
      <c r="J18" s="211">
        <f>'Performance Calculations'!E7</f>
        <v>108.5</v>
      </c>
      <c r="K18" s="211">
        <f>'Performance Calculations'!F7</f>
        <v>100</v>
      </c>
      <c r="L18" s="233"/>
      <c r="M18" s="232" t="e">
        <f>'Performance Calculations'!G7</f>
        <v>#VALUE!</v>
      </c>
      <c r="O18" s="75" t="s">
        <v>203</v>
      </c>
      <c r="AZ18" s="54"/>
    </row>
    <row r="19" spans="2:52" ht="13.5" thickBot="1" x14ac:dyDescent="0.25">
      <c r="B19" s="88" t="s">
        <v>277</v>
      </c>
      <c r="C19" s="89"/>
      <c r="D19" s="89"/>
      <c r="E19" s="89"/>
      <c r="F19" s="89"/>
      <c r="G19" s="89"/>
      <c r="H19" s="89"/>
      <c r="I19" s="89"/>
      <c r="J19" s="116"/>
      <c r="K19" s="89"/>
      <c r="L19" s="116"/>
      <c r="M19" s="101"/>
      <c r="O19" s="76" t="s">
        <v>238</v>
      </c>
      <c r="P19" s="126"/>
      <c r="R19" s="78" t="s">
        <v>239</v>
      </c>
      <c r="S19" s="78"/>
      <c r="T19" s="78"/>
      <c r="U19" s="78"/>
      <c r="V19" s="78"/>
      <c r="W19" s="78"/>
      <c r="X19" s="78" t="s">
        <v>240</v>
      </c>
      <c r="Y19" s="78"/>
      <c r="Z19" s="78" t="s">
        <v>241</v>
      </c>
      <c r="AA19" s="78"/>
      <c r="AB19" s="78"/>
      <c r="AC19" s="78"/>
      <c r="AD19" s="78"/>
      <c r="AE19" s="78" t="s">
        <v>242</v>
      </c>
      <c r="AF19" s="78"/>
      <c r="AG19" s="78"/>
      <c r="AH19" s="78"/>
      <c r="AI19" s="78"/>
      <c r="AJ19" s="78" t="s">
        <v>243</v>
      </c>
      <c r="AK19" s="78"/>
      <c r="AM19" s="78"/>
      <c r="AN19" s="78"/>
      <c r="AO19" s="78"/>
      <c r="AP19" s="45" t="s">
        <v>142</v>
      </c>
      <c r="AW19" s="78" t="s">
        <v>244</v>
      </c>
      <c r="AX19" s="78"/>
      <c r="AY19" s="78"/>
      <c r="AZ19" s="99"/>
    </row>
    <row r="20" spans="2:52" x14ac:dyDescent="0.2">
      <c r="C20" s="117"/>
      <c r="D20" s="118"/>
      <c r="E20" s="118"/>
      <c r="F20" s="118"/>
      <c r="G20" s="118"/>
      <c r="H20" s="118"/>
      <c r="I20" s="51"/>
      <c r="J20" s="132"/>
      <c r="L20" s="132"/>
      <c r="M20" s="132"/>
      <c r="O20" s="90"/>
      <c r="P20" s="127"/>
      <c r="Q20" s="56"/>
      <c r="R20" s="90"/>
      <c r="S20" s="91"/>
      <c r="T20" s="91"/>
      <c r="U20" s="91"/>
      <c r="V20" s="91"/>
      <c r="W20" s="92"/>
      <c r="X20" s="90"/>
      <c r="Y20" s="91"/>
      <c r="Z20" s="90"/>
      <c r="AA20" s="91"/>
      <c r="AB20" s="91"/>
      <c r="AC20" s="91"/>
      <c r="AD20" s="92"/>
      <c r="AE20" s="90"/>
      <c r="AF20" s="91"/>
      <c r="AG20" s="91"/>
      <c r="AH20" s="127"/>
      <c r="AI20" s="127"/>
      <c r="AJ20" s="90"/>
      <c r="AK20" s="91"/>
      <c r="AL20" s="91"/>
      <c r="AM20" s="91"/>
      <c r="AN20" s="91"/>
      <c r="AO20" s="92"/>
      <c r="AP20" s="55"/>
      <c r="AQ20" s="56"/>
      <c r="AR20" s="56"/>
      <c r="AS20" s="56"/>
      <c r="AT20" s="56"/>
      <c r="AU20" s="56"/>
      <c r="AV20" s="61"/>
      <c r="AW20" s="90"/>
      <c r="AX20" s="91"/>
      <c r="AY20" s="91"/>
      <c r="AZ20" s="92"/>
    </row>
    <row r="21" spans="2:52" ht="15.75" customHeight="1" x14ac:dyDescent="0.2">
      <c r="B21" s="69"/>
      <c r="C21" s="119"/>
      <c r="D21" s="118"/>
      <c r="E21" s="120"/>
      <c r="F21" s="120"/>
      <c r="G21" s="120"/>
      <c r="H21" s="120"/>
      <c r="J21" s="132"/>
      <c r="L21" s="132"/>
      <c r="M21" s="132"/>
      <c r="O21" s="79"/>
      <c r="P21" s="80"/>
      <c r="Q21" s="66"/>
      <c r="R21" s="79"/>
      <c r="S21" s="81"/>
      <c r="T21" s="81"/>
      <c r="U21" s="81"/>
      <c r="V21" s="81"/>
      <c r="W21" s="99"/>
      <c r="X21" s="79"/>
      <c r="Y21" s="81"/>
      <c r="Z21" s="79"/>
      <c r="AA21" s="81"/>
      <c r="AB21" s="81"/>
      <c r="AC21" s="81"/>
      <c r="AD21" s="99"/>
      <c r="AE21" s="79"/>
      <c r="AF21" s="81"/>
      <c r="AG21" s="80"/>
      <c r="AH21" s="80"/>
      <c r="AI21" s="80"/>
      <c r="AJ21" s="79"/>
      <c r="AK21" s="66"/>
      <c r="AL21" s="66"/>
      <c r="AM21" s="66"/>
      <c r="AN21" s="66"/>
      <c r="AO21" s="67"/>
      <c r="AP21" s="68"/>
      <c r="AQ21" s="66"/>
      <c r="AR21" s="66"/>
      <c r="AS21" s="66"/>
      <c r="AT21" s="66"/>
      <c r="AU21" s="66"/>
      <c r="AV21" s="67"/>
      <c r="AW21" s="68"/>
      <c r="AX21" s="66"/>
      <c r="AY21" s="66"/>
      <c r="AZ21" s="67"/>
    </row>
    <row r="22" spans="2:52" x14ac:dyDescent="0.2">
      <c r="C22" s="117"/>
      <c r="D22" s="118"/>
      <c r="E22" s="118"/>
      <c r="F22" s="118"/>
      <c r="G22" s="118"/>
      <c r="H22" s="118"/>
      <c r="J22" s="132"/>
      <c r="L22" s="132"/>
      <c r="M22" s="132"/>
      <c r="O22" s="90"/>
      <c r="P22" s="127"/>
      <c r="Q22" s="56"/>
      <c r="R22" s="90"/>
      <c r="S22" s="91"/>
      <c r="T22" s="91"/>
      <c r="U22" s="91"/>
      <c r="V22" s="91"/>
      <c r="W22" s="92"/>
      <c r="X22" s="90"/>
      <c r="Y22" s="91"/>
      <c r="Z22" s="90"/>
      <c r="AA22" s="91"/>
      <c r="AB22" s="91"/>
      <c r="AC22" s="91"/>
      <c r="AD22" s="92"/>
      <c r="AE22" s="90"/>
      <c r="AF22" s="91"/>
      <c r="AG22" s="91"/>
      <c r="AH22" s="127"/>
      <c r="AI22" s="127"/>
      <c r="AJ22" s="90"/>
      <c r="AK22" s="91"/>
      <c r="AL22" s="91"/>
      <c r="AM22" s="91"/>
      <c r="AN22" s="91"/>
      <c r="AO22" s="92"/>
      <c r="AP22" s="55"/>
      <c r="AQ22" s="56"/>
      <c r="AR22" s="56"/>
      <c r="AS22" s="56"/>
      <c r="AT22" s="56"/>
      <c r="AU22" s="56"/>
      <c r="AV22" s="61"/>
      <c r="AW22" s="90"/>
      <c r="AX22" s="91"/>
      <c r="AY22" s="91"/>
      <c r="AZ22" s="92"/>
    </row>
    <row r="23" spans="2:52" ht="13.5" thickBot="1" x14ac:dyDescent="0.25">
      <c r="B23" s="69"/>
      <c r="C23" s="117"/>
      <c r="D23" s="118"/>
      <c r="E23" s="118"/>
      <c r="F23" s="118"/>
      <c r="G23" s="118"/>
      <c r="H23" s="118"/>
      <c r="J23" s="132"/>
      <c r="L23" s="132"/>
      <c r="O23" s="76"/>
      <c r="P23" s="77"/>
      <c r="R23" s="76"/>
      <c r="S23" s="78"/>
      <c r="T23" s="78"/>
      <c r="U23" s="78"/>
      <c r="V23" s="78"/>
      <c r="W23" s="93"/>
      <c r="X23" s="76"/>
      <c r="Y23" s="78"/>
      <c r="Z23" s="76"/>
      <c r="AA23" s="81"/>
      <c r="AB23" s="81"/>
      <c r="AC23" s="81"/>
      <c r="AD23" s="99"/>
      <c r="AE23" s="79"/>
      <c r="AF23" s="81"/>
      <c r="AG23" s="80"/>
      <c r="AH23" s="80"/>
      <c r="AI23" s="80"/>
      <c r="AJ23" s="79"/>
      <c r="AK23" s="66"/>
      <c r="AL23" s="66"/>
      <c r="AM23" s="66"/>
      <c r="AN23" s="66"/>
      <c r="AO23" s="67"/>
      <c r="AP23" s="68"/>
      <c r="AQ23" s="66"/>
      <c r="AR23" s="66"/>
      <c r="AS23" s="66"/>
      <c r="AT23" s="66"/>
      <c r="AU23" s="66"/>
      <c r="AV23" s="67"/>
      <c r="AW23" s="68"/>
      <c r="AX23" s="66"/>
      <c r="AY23" s="66"/>
      <c r="AZ23" s="67"/>
    </row>
    <row r="24" spans="2:52" ht="15" customHeight="1" thickBot="1" x14ac:dyDescent="0.25">
      <c r="C24" s="117"/>
      <c r="D24" s="118"/>
      <c r="E24" s="118"/>
      <c r="F24" s="118"/>
      <c r="G24" s="118"/>
      <c r="H24" s="118"/>
      <c r="J24" s="132"/>
      <c r="L24" s="132"/>
      <c r="O24" s="222"/>
      <c r="P24" s="223" t="s">
        <v>266</v>
      </c>
      <c r="Q24" s="224"/>
      <c r="R24" s="223"/>
      <c r="S24" s="223" t="s">
        <v>195</v>
      </c>
      <c r="T24" s="223" t="s">
        <v>309</v>
      </c>
      <c r="U24" s="224"/>
      <c r="V24" s="224"/>
      <c r="W24" s="223"/>
      <c r="X24" s="223"/>
      <c r="Y24" s="223"/>
      <c r="Z24" s="225"/>
      <c r="AA24" s="69" t="s">
        <v>205</v>
      </c>
      <c r="AE24" s="69"/>
      <c r="AW24" s="56"/>
      <c r="AX24" s="56"/>
      <c r="AY24" s="56"/>
      <c r="AZ24" s="61"/>
    </row>
    <row r="25" spans="2:52" x14ac:dyDescent="0.2">
      <c r="C25" s="117"/>
      <c r="D25" s="118"/>
      <c r="E25" s="118"/>
      <c r="F25" s="118"/>
      <c r="G25" s="118"/>
      <c r="H25" s="118"/>
      <c r="O25" s="84" t="s">
        <v>202</v>
      </c>
      <c r="Z25" s="85"/>
      <c r="AA25" s="45" t="s">
        <v>237</v>
      </c>
      <c r="AN25" s="45" t="s">
        <v>206</v>
      </c>
      <c r="AZ25" s="60"/>
    </row>
    <row r="26" spans="2:52" x14ac:dyDescent="0.2">
      <c r="B26" s="69"/>
      <c r="C26" s="119"/>
      <c r="D26" s="118"/>
      <c r="E26" s="120"/>
      <c r="F26" s="120"/>
      <c r="G26" s="120"/>
      <c r="H26" s="120"/>
      <c r="O26" s="226"/>
      <c r="Q26" s="125"/>
      <c r="R26" s="125"/>
      <c r="S26" s="62" t="s">
        <v>195</v>
      </c>
      <c r="Z26" s="85"/>
      <c r="AE26" s="69"/>
      <c r="AZ26" s="60"/>
    </row>
    <row r="27" spans="2:52" x14ac:dyDescent="0.2">
      <c r="L27" s="51"/>
      <c r="O27" s="8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87"/>
      <c r="AZ27" s="60"/>
    </row>
    <row r="28" spans="2:52" x14ac:dyDescent="0.2">
      <c r="L28" s="132"/>
      <c r="O28" s="82" t="s">
        <v>204</v>
      </c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83"/>
      <c r="AA28" s="45" t="s">
        <v>207</v>
      </c>
      <c r="AN28" s="45" t="s">
        <v>209</v>
      </c>
      <c r="AZ28" s="60"/>
    </row>
    <row r="29" spans="2:52" x14ac:dyDescent="0.2">
      <c r="L29" s="132"/>
      <c r="O29" s="226"/>
      <c r="Q29" s="125"/>
      <c r="R29" s="125"/>
      <c r="S29" s="62" t="s">
        <v>195</v>
      </c>
      <c r="V29" s="128"/>
      <c r="W29" s="128"/>
      <c r="X29" s="62"/>
      <c r="Z29" s="85"/>
      <c r="AZ29" s="60"/>
    </row>
    <row r="30" spans="2:52" x14ac:dyDescent="0.2">
      <c r="L30" s="132"/>
      <c r="O30" s="8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87"/>
      <c r="AE30" s="69"/>
      <c r="AZ30" s="60"/>
    </row>
    <row r="31" spans="2:52" x14ac:dyDescent="0.2">
      <c r="L31" s="132"/>
      <c r="O31" s="82" t="s">
        <v>308</v>
      </c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83"/>
      <c r="AZ31" s="60"/>
    </row>
    <row r="32" spans="2:52" x14ac:dyDescent="0.2">
      <c r="L32" s="132"/>
      <c r="O32" s="497"/>
      <c r="P32" s="498"/>
      <c r="Q32" s="498"/>
      <c r="R32" s="498"/>
      <c r="S32" s="62" t="s">
        <v>195</v>
      </c>
      <c r="V32" s="125"/>
      <c r="W32" s="125"/>
      <c r="X32" s="62"/>
      <c r="Z32" s="85"/>
      <c r="AA32" s="45" t="s">
        <v>208</v>
      </c>
      <c r="AN32" s="140"/>
      <c r="AZ32" s="60"/>
    </row>
    <row r="33" spans="1:52" x14ac:dyDescent="0.2">
      <c r="L33" s="132"/>
      <c r="O33" s="8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87"/>
      <c r="AZ33" s="60"/>
    </row>
    <row r="34" spans="1:52" x14ac:dyDescent="0.2">
      <c r="L34" s="132"/>
      <c r="O34" s="82" t="s">
        <v>125</v>
      </c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83"/>
      <c r="AZ34" s="60"/>
    </row>
    <row r="35" spans="1:52" x14ac:dyDescent="0.2">
      <c r="A35" s="69"/>
      <c r="H35" s="69"/>
      <c r="L35" s="132"/>
      <c r="O35" s="84"/>
      <c r="P35" s="125"/>
      <c r="Q35" s="125"/>
      <c r="R35" s="125"/>
      <c r="S35" s="62" t="s">
        <v>195</v>
      </c>
      <c r="V35" s="125"/>
      <c r="W35" s="125"/>
      <c r="X35" s="62"/>
      <c r="Z35" s="85"/>
      <c r="AN35" s="140"/>
      <c r="AZ35" s="60"/>
    </row>
    <row r="36" spans="1:52" ht="13.5" thickBot="1" x14ac:dyDescent="0.25">
      <c r="A36" s="78"/>
      <c r="B36" s="489"/>
      <c r="C36" s="489"/>
      <c r="D36" s="489"/>
      <c r="E36" s="489"/>
      <c r="F36" s="489"/>
      <c r="I36" s="78"/>
      <c r="J36" s="123"/>
      <c r="K36" s="122"/>
      <c r="L36" s="122"/>
      <c r="M36" s="122"/>
      <c r="O36" s="129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1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73"/>
    </row>
    <row r="37" spans="1:52" ht="12.75" customHeight="1" thickTop="1" x14ac:dyDescent="0.2">
      <c r="I37" s="78"/>
      <c r="J37" s="123"/>
      <c r="K37" s="122"/>
      <c r="L37" s="122"/>
      <c r="M37" s="122"/>
      <c r="O37" s="75" t="s">
        <v>253</v>
      </c>
      <c r="AZ37" s="60"/>
    </row>
    <row r="38" spans="1:52" x14ac:dyDescent="0.2">
      <c r="A38" s="78"/>
      <c r="I38" s="78"/>
      <c r="J38" s="123"/>
      <c r="K38" s="122"/>
      <c r="L38" s="122"/>
      <c r="M38" s="122"/>
      <c r="O38" s="490" t="s">
        <v>245</v>
      </c>
      <c r="P38" s="491"/>
      <c r="Q38" s="491"/>
      <c r="R38" s="491"/>
      <c r="S38" s="491"/>
      <c r="T38" s="491"/>
      <c r="U38" s="491"/>
      <c r="V38" s="491"/>
      <c r="W38" s="491"/>
      <c r="X38" s="491"/>
      <c r="Y38" s="491"/>
      <c r="Z38" s="491"/>
      <c r="AA38" s="491"/>
      <c r="AB38" s="491"/>
      <c r="AC38" s="491"/>
      <c r="AD38" s="495" t="s">
        <v>252</v>
      </c>
      <c r="AE38" s="495"/>
      <c r="AF38" s="495"/>
      <c r="AG38" s="495"/>
      <c r="AH38" s="495"/>
      <c r="AI38" s="495"/>
      <c r="AJ38" s="495"/>
      <c r="AK38" s="495"/>
      <c r="AL38" s="495"/>
      <c r="AM38" s="495"/>
      <c r="AN38" s="495"/>
      <c r="AO38" s="495"/>
      <c r="AP38" s="495"/>
      <c r="AQ38" s="495"/>
      <c r="AR38" s="495"/>
      <c r="AS38" s="495"/>
      <c r="AT38" s="495"/>
      <c r="AU38" s="495"/>
      <c r="AV38" s="495"/>
      <c r="AW38" s="495"/>
      <c r="AX38" s="495"/>
      <c r="AY38" s="495"/>
      <c r="AZ38" s="496"/>
    </row>
    <row r="39" spans="1:52" ht="15" customHeight="1" x14ac:dyDescent="0.2">
      <c r="I39" s="78"/>
      <c r="J39" s="123"/>
      <c r="K39" s="122"/>
      <c r="L39" s="122"/>
      <c r="M39" s="122"/>
      <c r="O39" s="515" t="s">
        <v>246</v>
      </c>
      <c r="P39" s="500"/>
      <c r="Q39" s="500"/>
      <c r="R39" s="500"/>
      <c r="S39" s="500"/>
      <c r="T39" s="500"/>
      <c r="U39" s="516"/>
      <c r="V39" s="499" t="s">
        <v>247</v>
      </c>
      <c r="W39" s="500"/>
      <c r="X39" s="500"/>
      <c r="Y39" s="500"/>
      <c r="Z39" s="500"/>
      <c r="AA39" s="500"/>
      <c r="AB39" s="500"/>
      <c r="AC39" s="501"/>
      <c r="AH39" s="502" t="s">
        <v>246</v>
      </c>
      <c r="AI39" s="502"/>
      <c r="AJ39" s="502"/>
      <c r="AK39" s="502"/>
      <c r="AL39" s="502"/>
      <c r="AM39" s="502"/>
      <c r="AN39" s="78"/>
      <c r="AO39" s="502" t="s">
        <v>247</v>
      </c>
      <c r="AP39" s="502"/>
      <c r="AQ39" s="502"/>
      <c r="AR39" s="502"/>
      <c r="AS39" s="502"/>
      <c r="AT39" s="502"/>
      <c r="AU39" s="502"/>
      <c r="AV39" s="502"/>
      <c r="AW39" s="502"/>
      <c r="AX39" s="502"/>
      <c r="AY39" s="78"/>
      <c r="AZ39" s="93"/>
    </row>
    <row r="40" spans="1:52" x14ac:dyDescent="0.2">
      <c r="A40" s="78"/>
      <c r="B40" s="489"/>
      <c r="C40" s="489"/>
      <c r="D40" s="489"/>
      <c r="E40" s="489"/>
      <c r="F40" s="489"/>
      <c r="I40" s="78"/>
      <c r="J40" s="123"/>
      <c r="K40" s="122"/>
      <c r="L40" s="122"/>
      <c r="M40" s="122"/>
      <c r="O40" s="517" t="s">
        <v>204</v>
      </c>
      <c r="P40" s="503"/>
      <c r="Q40" s="503"/>
      <c r="R40" s="503" t="s">
        <v>248</v>
      </c>
      <c r="S40" s="503"/>
      <c r="T40" s="503"/>
      <c r="U40" s="548"/>
      <c r="V40" s="549" t="s">
        <v>204</v>
      </c>
      <c r="W40" s="503"/>
      <c r="X40" s="503"/>
      <c r="Y40" s="503"/>
      <c r="Z40" s="503" t="s">
        <v>248</v>
      </c>
      <c r="AA40" s="503"/>
      <c r="AB40" s="503"/>
      <c r="AC40" s="504"/>
      <c r="AG40" s="78"/>
      <c r="AH40" s="523" t="s">
        <v>229</v>
      </c>
      <c r="AI40" s="523"/>
      <c r="AJ40" s="523"/>
      <c r="AK40" s="520" t="s">
        <v>230</v>
      </c>
      <c r="AL40" s="520"/>
      <c r="AM40" s="520"/>
      <c r="AN40" s="78"/>
      <c r="AO40" s="78"/>
      <c r="AP40" s="78" t="s">
        <v>229</v>
      </c>
      <c r="AQ40" s="78"/>
      <c r="AR40" s="78"/>
      <c r="AS40" s="78"/>
      <c r="AT40" s="520" t="s">
        <v>230</v>
      </c>
      <c r="AU40" s="520"/>
      <c r="AV40" s="520"/>
      <c r="AW40" s="520"/>
      <c r="AX40" s="520"/>
      <c r="AZ40" s="60"/>
    </row>
    <row r="41" spans="1:52" ht="12.75" customHeight="1" x14ac:dyDescent="0.2">
      <c r="I41" s="78"/>
      <c r="J41" s="123"/>
      <c r="K41" s="122"/>
      <c r="L41" s="122"/>
      <c r="M41" s="122"/>
      <c r="O41" s="505" t="str">
        <f>IF(ISBLANK(J9),"",J9)</f>
        <v/>
      </c>
      <c r="P41" s="506"/>
      <c r="Q41" s="507"/>
      <c r="R41" s="511" t="str">
        <f>IF(ISBLANK(K9),"",K9)</f>
        <v/>
      </c>
      <c r="S41" s="511"/>
      <c r="T41" s="511"/>
      <c r="U41" s="512"/>
      <c r="V41" s="513"/>
      <c r="W41" s="514"/>
      <c r="X41" s="514"/>
      <c r="Y41" s="514"/>
      <c r="Z41" s="514"/>
      <c r="AA41" s="514"/>
      <c r="AB41" s="514"/>
      <c r="AC41" s="514"/>
      <c r="AD41" s="78" t="s">
        <v>224</v>
      </c>
      <c r="AE41" s="78"/>
      <c r="AG41" s="78"/>
      <c r="AH41" s="521" t="str">
        <f>IF(ISBLANK(L9),"",L9)</f>
        <v/>
      </c>
      <c r="AI41" s="521"/>
      <c r="AJ41" s="521"/>
      <c r="AK41" s="521" t="str">
        <f>IF(ISBLANK(M9),"",M9)</f>
        <v/>
      </c>
      <c r="AL41" s="521"/>
      <c r="AM41" s="521"/>
      <c r="AN41" s="78"/>
      <c r="AO41" s="519"/>
      <c r="AP41" s="519"/>
      <c r="AQ41" s="519"/>
      <c r="AR41" s="519"/>
      <c r="AS41" s="519"/>
      <c r="AT41" s="550"/>
      <c r="AU41" s="550"/>
      <c r="AV41" s="550"/>
      <c r="AW41" s="550"/>
      <c r="AX41" s="550"/>
      <c r="AZ41" s="60"/>
    </row>
    <row r="42" spans="1:52" ht="12.75" customHeight="1" x14ac:dyDescent="0.2">
      <c r="A42" s="78"/>
      <c r="B42" s="489"/>
      <c r="C42" s="489"/>
      <c r="D42" s="489"/>
      <c r="E42" s="489"/>
      <c r="I42" s="78"/>
      <c r="J42" s="123"/>
      <c r="O42" s="508"/>
      <c r="P42" s="509"/>
      <c r="Q42" s="510"/>
      <c r="R42" s="511"/>
      <c r="S42" s="511"/>
      <c r="T42" s="511"/>
      <c r="U42" s="512"/>
      <c r="V42" s="513"/>
      <c r="W42" s="514"/>
      <c r="X42" s="514"/>
      <c r="Y42" s="514"/>
      <c r="Z42" s="514"/>
      <c r="AA42" s="514"/>
      <c r="AB42" s="514"/>
      <c r="AC42" s="514"/>
      <c r="AH42" s="521"/>
      <c r="AI42" s="521"/>
      <c r="AJ42" s="521"/>
      <c r="AK42" s="521"/>
      <c r="AL42" s="521"/>
      <c r="AM42" s="521"/>
      <c r="AN42" s="78"/>
      <c r="AO42" s="519"/>
      <c r="AP42" s="519"/>
      <c r="AQ42" s="519"/>
      <c r="AR42" s="519"/>
      <c r="AS42" s="519"/>
      <c r="AT42" s="519"/>
      <c r="AU42" s="519"/>
      <c r="AV42" s="519"/>
      <c r="AW42" s="519"/>
      <c r="AX42" s="519"/>
      <c r="AZ42" s="60"/>
    </row>
    <row r="43" spans="1:52" ht="12.75" customHeight="1" x14ac:dyDescent="0.2">
      <c r="B43" s="489"/>
      <c r="C43" s="489"/>
      <c r="D43" s="489"/>
      <c r="E43" s="489"/>
      <c r="I43" s="78"/>
      <c r="J43" s="123"/>
      <c r="K43" s="122"/>
      <c r="L43" s="122"/>
      <c r="M43" s="122"/>
      <c r="O43" s="76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D43" s="78" t="s">
        <v>249</v>
      </c>
      <c r="AE43" s="78"/>
      <c r="AG43" s="78"/>
      <c r="AH43" s="521" t="str">
        <f>IF(ISBLANK(L11),"",L11)</f>
        <v/>
      </c>
      <c r="AI43" s="521"/>
      <c r="AJ43" s="521"/>
      <c r="AK43" s="521" t="str">
        <f>IF(ISBLANK(M11),"",M11)</f>
        <v/>
      </c>
      <c r="AL43" s="521"/>
      <c r="AM43" s="521"/>
      <c r="AN43" s="78"/>
      <c r="AO43" s="519"/>
      <c r="AP43" s="519"/>
      <c r="AQ43" s="519"/>
      <c r="AR43" s="519"/>
      <c r="AS43" s="519"/>
      <c r="AT43" s="519"/>
      <c r="AU43" s="519"/>
      <c r="AV43" s="519"/>
      <c r="AW43" s="519"/>
      <c r="AX43" s="519"/>
      <c r="AZ43" s="60"/>
    </row>
    <row r="44" spans="1:52" x14ac:dyDescent="0.2">
      <c r="I44" s="78"/>
      <c r="J44" s="123"/>
      <c r="K44" s="122"/>
      <c r="L44" s="122"/>
      <c r="M44" s="122"/>
      <c r="O44" s="76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H44" s="521"/>
      <c r="AI44" s="521"/>
      <c r="AJ44" s="521"/>
      <c r="AK44" s="521"/>
      <c r="AL44" s="521"/>
      <c r="AM44" s="521"/>
      <c r="AN44" s="78"/>
      <c r="AO44" s="519"/>
      <c r="AP44" s="519"/>
      <c r="AQ44" s="519"/>
      <c r="AR44" s="519"/>
      <c r="AS44" s="519"/>
      <c r="AT44" s="519"/>
      <c r="AU44" s="519"/>
      <c r="AV44" s="519"/>
      <c r="AW44" s="519"/>
      <c r="AX44" s="519"/>
      <c r="AZ44" s="60"/>
    </row>
    <row r="45" spans="1:52" x14ac:dyDescent="0.2">
      <c r="A45" s="78"/>
      <c r="B45" s="489"/>
      <c r="C45" s="489"/>
      <c r="D45" s="489"/>
      <c r="E45" s="489"/>
      <c r="I45" s="78"/>
      <c r="J45" s="123"/>
      <c r="K45" s="122"/>
      <c r="L45" s="122"/>
      <c r="M45" s="122"/>
      <c r="O45" s="76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 t="s">
        <v>250</v>
      </c>
      <c r="AE45" s="78"/>
      <c r="AG45" s="78"/>
      <c r="AH45" s="522"/>
      <c r="AI45" s="522"/>
      <c r="AJ45" s="522"/>
      <c r="AK45" s="521"/>
      <c r="AL45" s="521"/>
      <c r="AM45" s="521"/>
      <c r="AN45" s="78"/>
      <c r="AO45" s="518"/>
      <c r="AP45" s="518"/>
      <c r="AQ45" s="518"/>
      <c r="AR45" s="518"/>
      <c r="AS45" s="518"/>
      <c r="AT45" s="519"/>
      <c r="AU45" s="519"/>
      <c r="AV45" s="519"/>
      <c r="AW45" s="519"/>
      <c r="AX45" s="519"/>
      <c r="AZ45" s="60"/>
    </row>
    <row r="46" spans="1:52" ht="12.75" customHeight="1" x14ac:dyDescent="0.2">
      <c r="B46" s="489"/>
      <c r="C46" s="489"/>
      <c r="D46" s="489"/>
      <c r="E46" s="489"/>
      <c r="I46" s="78"/>
      <c r="J46" s="123"/>
      <c r="K46" s="122"/>
      <c r="L46" s="122"/>
      <c r="M46" s="122"/>
      <c r="O46" s="76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H46" s="522"/>
      <c r="AI46" s="522"/>
      <c r="AJ46" s="522"/>
      <c r="AK46" s="521"/>
      <c r="AL46" s="521"/>
      <c r="AM46" s="521"/>
      <c r="AN46" s="78"/>
      <c r="AO46" s="518"/>
      <c r="AP46" s="518"/>
      <c r="AQ46" s="518"/>
      <c r="AR46" s="518"/>
      <c r="AS46" s="518"/>
      <c r="AT46" s="519"/>
      <c r="AU46" s="519"/>
      <c r="AV46" s="519"/>
      <c r="AW46" s="519"/>
      <c r="AX46" s="519"/>
      <c r="AZ46" s="60"/>
    </row>
    <row r="47" spans="1:52" x14ac:dyDescent="0.2">
      <c r="I47" s="78"/>
      <c r="J47" s="123"/>
      <c r="K47" s="122"/>
      <c r="L47" s="122"/>
      <c r="M47" s="122"/>
      <c r="O47" s="76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 t="s">
        <v>251</v>
      </c>
      <c r="AE47" s="78"/>
      <c r="AG47" s="78"/>
      <c r="AH47" s="522"/>
      <c r="AI47" s="522"/>
      <c r="AJ47" s="522"/>
      <c r="AK47" s="521"/>
      <c r="AL47" s="521"/>
      <c r="AM47" s="521"/>
      <c r="AN47" s="78"/>
      <c r="AO47" s="518"/>
      <c r="AP47" s="518"/>
      <c r="AQ47" s="518"/>
      <c r="AR47" s="518"/>
      <c r="AS47" s="518"/>
      <c r="AT47" s="519"/>
      <c r="AU47" s="519"/>
      <c r="AV47" s="519"/>
      <c r="AW47" s="519"/>
      <c r="AX47" s="519"/>
      <c r="AZ47" s="60"/>
    </row>
    <row r="48" spans="1:52" x14ac:dyDescent="0.2">
      <c r="I48" s="78"/>
      <c r="J48" s="123"/>
      <c r="O48" s="76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H48" s="522"/>
      <c r="AI48" s="522"/>
      <c r="AJ48" s="522"/>
      <c r="AK48" s="521"/>
      <c r="AL48" s="521"/>
      <c r="AM48" s="521"/>
      <c r="AN48" s="78"/>
      <c r="AO48" s="518"/>
      <c r="AP48" s="518"/>
      <c r="AQ48" s="518"/>
      <c r="AR48" s="518"/>
      <c r="AS48" s="518"/>
      <c r="AT48" s="519"/>
      <c r="AU48" s="519"/>
      <c r="AV48" s="519"/>
      <c r="AW48" s="519"/>
      <c r="AX48" s="519"/>
      <c r="AZ48" s="60"/>
    </row>
    <row r="49" spans="2:96" x14ac:dyDescent="0.2">
      <c r="J49" s="122"/>
      <c r="K49" s="122"/>
      <c r="L49" s="122"/>
      <c r="M49" s="122"/>
      <c r="O49" s="79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66"/>
      <c r="AF49" s="66"/>
      <c r="AG49" s="66"/>
      <c r="AH49" s="66"/>
      <c r="AI49" s="66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99"/>
    </row>
    <row r="50" spans="2:96" x14ac:dyDescent="0.2">
      <c r="O50" s="153" t="s">
        <v>276</v>
      </c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93"/>
    </row>
    <row r="51" spans="2:96" x14ac:dyDescent="0.2">
      <c r="K51" s="98"/>
      <c r="L51" s="98"/>
      <c r="M51" s="98"/>
      <c r="O51" s="76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93"/>
    </row>
    <row r="52" spans="2:96" x14ac:dyDescent="0.2">
      <c r="K52" s="98"/>
      <c r="L52" s="98"/>
      <c r="M52" s="98"/>
      <c r="O52" s="76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93"/>
    </row>
    <row r="53" spans="2:96" x14ac:dyDescent="0.2">
      <c r="B53" s="98"/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  <c r="O53" s="76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93"/>
    </row>
    <row r="54" spans="2:96" x14ac:dyDescent="0.2">
      <c r="B54" s="471" t="s">
        <v>234</v>
      </c>
      <c r="C54" s="471"/>
      <c r="D54" s="471"/>
      <c r="E54" s="81"/>
      <c r="F54" s="81"/>
      <c r="G54" s="81"/>
      <c r="H54" s="81"/>
      <c r="I54" s="81"/>
      <c r="J54" s="81"/>
      <c r="O54" s="76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93"/>
    </row>
    <row r="55" spans="2:96" x14ac:dyDescent="0.2">
      <c r="E55" s="98"/>
      <c r="F55" s="98"/>
      <c r="G55" s="98"/>
      <c r="H55" s="98"/>
      <c r="I55" s="98"/>
      <c r="J55" s="98"/>
      <c r="O55" s="76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93"/>
    </row>
    <row r="56" spans="2:96" x14ac:dyDescent="0.2">
      <c r="B56" s="472" t="s">
        <v>235</v>
      </c>
      <c r="C56" s="472"/>
      <c r="D56" s="472"/>
      <c r="E56" s="213"/>
      <c r="F56" s="213"/>
      <c r="G56" s="213"/>
      <c r="H56" s="213"/>
      <c r="I56" s="213"/>
      <c r="J56" s="213"/>
      <c r="O56" s="76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93"/>
    </row>
    <row r="57" spans="2:96" x14ac:dyDescent="0.2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O57" s="76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93"/>
    </row>
    <row r="58" spans="2:96" x14ac:dyDescent="0.2">
      <c r="B58" s="94" t="s">
        <v>233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6"/>
      <c r="O58" s="76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93"/>
    </row>
    <row r="59" spans="2:96" x14ac:dyDescent="0.2">
      <c r="B59" s="214"/>
      <c r="C59" s="215"/>
      <c r="D59" s="216"/>
      <c r="E59" s="216"/>
      <c r="F59" s="216"/>
      <c r="G59" s="216"/>
      <c r="H59" s="216"/>
      <c r="I59" s="216"/>
      <c r="J59" s="216"/>
      <c r="K59" s="216"/>
      <c r="L59" s="216"/>
      <c r="M59" s="217"/>
      <c r="O59" s="76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93"/>
    </row>
    <row r="60" spans="2:96" ht="15" x14ac:dyDescent="0.25">
      <c r="B60" s="214"/>
      <c r="C60" s="215"/>
      <c r="D60" s="216"/>
      <c r="E60" s="216"/>
      <c r="F60" s="216"/>
      <c r="G60" s="216"/>
      <c r="H60" s="216"/>
      <c r="I60" s="216"/>
      <c r="J60" s="216"/>
      <c r="K60" s="216"/>
      <c r="L60" s="216"/>
      <c r="M60" s="217"/>
      <c r="O60" s="76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93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</row>
    <row r="61" spans="2:96" ht="15" x14ac:dyDescent="0.25">
      <c r="B61" s="248"/>
      <c r="C61" s="66"/>
      <c r="D61" s="81"/>
      <c r="E61" s="81"/>
      <c r="F61" s="81"/>
      <c r="G61" s="81"/>
      <c r="H61" s="66"/>
      <c r="I61" s="66"/>
      <c r="J61" s="66"/>
      <c r="K61" s="66"/>
      <c r="L61" s="66"/>
      <c r="M61" s="67"/>
      <c r="O61" s="79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99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</row>
    <row r="62" spans="2:96" ht="15" x14ac:dyDescent="0.25"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</row>
    <row r="63" spans="2:96" ht="15.75" x14ac:dyDescent="0.25">
      <c r="B63" s="100"/>
      <c r="C63" s="464"/>
      <c r="D63" s="464"/>
      <c r="G63" s="133"/>
      <c r="H63" s="465"/>
      <c r="I63" s="465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</row>
    <row r="64" spans="2:96" ht="15.75" x14ac:dyDescent="0.25">
      <c r="B64" s="100"/>
      <c r="C64" s="49"/>
      <c r="G64" s="133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</row>
    <row r="65" spans="2:96" ht="15.75" x14ac:dyDescent="0.25">
      <c r="B65" s="100"/>
      <c r="C65" s="50"/>
      <c r="G65" s="133"/>
      <c r="O65" s="551" t="s">
        <v>651</v>
      </c>
      <c r="P65" s="551"/>
      <c r="Q65" s="551"/>
      <c r="R65" s="551"/>
      <c r="S65" s="551"/>
      <c r="T65" s="551"/>
      <c r="U65" s="551"/>
      <c r="V65" s="551"/>
      <c r="W65" s="551"/>
      <c r="X65" s="551"/>
      <c r="Y65" s="551"/>
      <c r="Z65" s="551"/>
      <c r="AA65" s="551"/>
      <c r="AB65" s="551"/>
      <c r="AC65" s="551"/>
      <c r="AD65" s="551"/>
      <c r="AE65" s="551"/>
      <c r="AF65" s="551"/>
      <c r="AG65" s="551"/>
      <c r="AH65" s="551"/>
      <c r="AI65" s="551"/>
      <c r="AJ65" s="551"/>
      <c r="AK65" s="551"/>
      <c r="AL65" s="551"/>
      <c r="AM65" s="551"/>
      <c r="AN65" s="551"/>
      <c r="AO65" s="551"/>
      <c r="AP65" s="551"/>
      <c r="AQ65" s="551"/>
      <c r="AR65" s="551"/>
      <c r="AS65" s="551"/>
      <c r="AT65" s="551"/>
      <c r="AU65" s="551"/>
      <c r="AV65" s="551"/>
      <c r="AW65" s="551"/>
      <c r="AX65" s="551"/>
      <c r="AY65" s="551"/>
      <c r="AZ65" s="551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</row>
    <row r="66" spans="2:96" ht="15.75" x14ac:dyDescent="0.25">
      <c r="B66" s="100"/>
      <c r="C66" s="49"/>
      <c r="D66" s="49"/>
      <c r="E66" s="49"/>
      <c r="F66" s="49"/>
      <c r="G66" s="49"/>
      <c r="K66" s="49"/>
      <c r="O66" s="249"/>
      <c r="P66" s="249"/>
      <c r="Q66" s="249"/>
      <c r="R66" s="249"/>
      <c r="S66" s="249"/>
      <c r="T66" s="249"/>
      <c r="U66" s="249" t="s">
        <v>179</v>
      </c>
      <c r="V66" s="249"/>
      <c r="W66" s="249"/>
      <c r="X66" s="66"/>
      <c r="Y66" s="66"/>
      <c r="Z66" s="250"/>
      <c r="AA66" s="250"/>
      <c r="AB66" s="250"/>
      <c r="AC66" s="250"/>
      <c r="AD66" s="250"/>
      <c r="AE66" s="250"/>
      <c r="AF66" s="250"/>
      <c r="AG66" s="250"/>
      <c r="AH66" s="250"/>
      <c r="AI66" s="250"/>
      <c r="AJ66" s="250"/>
      <c r="AK66" s="250"/>
      <c r="AL66" s="250"/>
      <c r="AM66" s="250"/>
      <c r="AN66" s="250"/>
      <c r="AO66" s="250"/>
      <c r="AP66" s="250"/>
      <c r="AQ66" s="250"/>
      <c r="AR66" s="66"/>
      <c r="AS66" s="250"/>
      <c r="AT66" s="250"/>
      <c r="AU66" s="249"/>
      <c r="AV66" s="249"/>
      <c r="AW66" s="249"/>
      <c r="AX66" s="249"/>
      <c r="AY66" s="249"/>
      <c r="AZ66" s="249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</row>
    <row r="67" spans="2:96" ht="15.75" x14ac:dyDescent="0.25">
      <c r="B67" s="244"/>
      <c r="J67" s="69"/>
      <c r="K67" s="69"/>
      <c r="L67" s="69"/>
      <c r="M67" s="69"/>
      <c r="O67" s="249"/>
      <c r="P67" s="249"/>
      <c r="Q67" s="249"/>
      <c r="R67" s="249"/>
      <c r="S67" s="249"/>
      <c r="T67" s="249"/>
      <c r="U67" s="249" t="s">
        <v>336</v>
      </c>
      <c r="V67" s="249"/>
      <c r="W67" s="249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  <c r="AM67" s="251"/>
      <c r="AN67" s="251"/>
      <c r="AO67" s="251"/>
      <c r="AP67" s="251"/>
      <c r="AQ67" s="251"/>
      <c r="AR67" s="47"/>
      <c r="AS67" s="251"/>
      <c r="AT67" s="251"/>
      <c r="AU67" s="249"/>
      <c r="AV67" s="249"/>
      <c r="AW67" s="249"/>
      <c r="AX67" s="249"/>
      <c r="AY67" s="249"/>
      <c r="AZ67" s="249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</row>
    <row r="68" spans="2:96" ht="15.75" x14ac:dyDescent="0.25">
      <c r="B68" s="244"/>
      <c r="C68" s="132"/>
      <c r="D68" s="132"/>
      <c r="E68" s="132"/>
      <c r="F68" s="132"/>
      <c r="G68" s="132"/>
      <c r="H68" s="132"/>
      <c r="J68" s="132"/>
      <c r="K68" s="132"/>
      <c r="L68" s="132"/>
      <c r="M68" s="132"/>
      <c r="O68" s="249"/>
      <c r="P68" s="249"/>
      <c r="Q68" s="249"/>
      <c r="R68" s="249"/>
      <c r="S68" s="249"/>
      <c r="T68" s="249"/>
      <c r="U68" s="249" t="s">
        <v>574</v>
      </c>
      <c r="V68" s="249"/>
      <c r="W68" s="249"/>
      <c r="Z68" s="249"/>
      <c r="AA68" s="249"/>
      <c r="AB68" s="249"/>
      <c r="AC68" s="249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47"/>
      <c r="AS68" s="251"/>
      <c r="AT68" s="251"/>
      <c r="AU68" s="249"/>
      <c r="AV68" s="249"/>
      <c r="AW68" s="249"/>
      <c r="AX68" s="249"/>
      <c r="AY68" s="249"/>
      <c r="AZ68" s="249"/>
      <c r="BA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</row>
    <row r="69" spans="2:96" ht="12.75" customHeight="1" x14ac:dyDescent="0.25">
      <c r="B69" s="239"/>
      <c r="C69" s="117"/>
      <c r="D69" s="117"/>
      <c r="E69" s="118"/>
      <c r="F69" s="118"/>
      <c r="G69" s="118"/>
      <c r="H69" s="118"/>
      <c r="J69" s="78"/>
      <c r="K69" s="78"/>
      <c r="L69" s="78"/>
      <c r="M69" s="78"/>
      <c r="O69"/>
      <c r="P69" s="256" t="s">
        <v>337</v>
      </c>
      <c r="S69" s="252"/>
      <c r="T69" s="252"/>
      <c r="U69" s="252"/>
      <c r="V69" s="252"/>
      <c r="AI69" s="256"/>
      <c r="AJ69" s="256" t="s">
        <v>356</v>
      </c>
      <c r="AL69" s="252"/>
      <c r="AM69" s="252"/>
      <c r="AN69" s="252"/>
      <c r="AO69" s="252"/>
      <c r="AW69" s="257"/>
      <c r="AX69" s="257"/>
      <c r="AY69" s="257"/>
      <c r="BA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</row>
    <row r="70" spans="2:96" ht="12.75" customHeight="1" thickBot="1" x14ac:dyDescent="0.3">
      <c r="B70" s="239"/>
      <c r="C70" s="117"/>
      <c r="D70" s="117"/>
      <c r="E70" s="118"/>
      <c r="F70" s="118"/>
      <c r="G70" s="118"/>
      <c r="H70" s="118"/>
      <c r="J70" s="78"/>
      <c r="K70" s="78"/>
      <c r="L70" s="78"/>
      <c r="M70" s="78"/>
      <c r="O70"/>
      <c r="AW70" s="257"/>
      <c r="AX70" s="257"/>
      <c r="AY70" s="257"/>
      <c r="BA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</row>
    <row r="71" spans="2:96" ht="15" customHeight="1" x14ac:dyDescent="0.25">
      <c r="B71" s="133"/>
      <c r="C71" s="117"/>
      <c r="D71" s="240"/>
      <c r="E71" s="117"/>
      <c r="F71" s="240"/>
      <c r="G71" s="117"/>
      <c r="H71" s="241"/>
      <c r="J71" s="118"/>
      <c r="K71" s="118"/>
      <c r="L71" s="117"/>
      <c r="M71" s="117"/>
      <c r="O71"/>
      <c r="S71" s="552" t="s">
        <v>339</v>
      </c>
      <c r="T71" s="388"/>
      <c r="U71" s="553"/>
      <c r="V71" s="387" t="s">
        <v>340</v>
      </c>
      <c r="W71" s="388"/>
      <c r="X71" s="553"/>
      <c r="Y71" s="387" t="s">
        <v>338</v>
      </c>
      <c r="Z71" s="388"/>
      <c r="AA71" s="388"/>
      <c r="AB71" s="389"/>
      <c r="AD71" s="309"/>
      <c r="AE71" s="309" t="s">
        <v>346</v>
      </c>
      <c r="AF71" s="257"/>
      <c r="AG71" s="257"/>
      <c r="AL71" s="434" t="s">
        <v>343</v>
      </c>
      <c r="AM71" s="435"/>
      <c r="AN71" s="436"/>
      <c r="AO71" s="428" t="s">
        <v>357</v>
      </c>
      <c r="AP71" s="429"/>
      <c r="AQ71" s="429"/>
      <c r="AR71" s="429"/>
      <c r="AS71" s="429"/>
      <c r="AT71" s="429"/>
      <c r="AU71" s="430"/>
      <c r="AW71" s="258"/>
      <c r="AX71" s="259"/>
      <c r="AY71" s="259"/>
      <c r="AZ71" s="260"/>
      <c r="BA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2:96" ht="13.5" customHeight="1" x14ac:dyDescent="0.25">
      <c r="B72" s="239"/>
      <c r="C72" s="117"/>
      <c r="D72" s="117"/>
      <c r="E72" s="118"/>
      <c r="F72" s="118"/>
      <c r="G72" s="118"/>
      <c r="H72" s="118"/>
      <c r="J72" s="242"/>
      <c r="K72" s="242"/>
      <c r="L72" s="243"/>
      <c r="M72" s="243"/>
      <c r="O72"/>
      <c r="P72" s="254"/>
      <c r="S72" s="554"/>
      <c r="T72" s="555"/>
      <c r="U72" s="556"/>
      <c r="V72" s="657"/>
      <c r="W72" s="555"/>
      <c r="X72" s="556"/>
      <c r="Y72" s="657"/>
      <c r="Z72" s="555"/>
      <c r="AA72" s="555"/>
      <c r="AB72" s="659"/>
      <c r="AD72" s="309"/>
      <c r="AE72" s="309" t="s">
        <v>347</v>
      </c>
      <c r="AF72" s="257"/>
      <c r="AG72" s="257"/>
      <c r="AI72" s="254"/>
      <c r="AL72" s="416" t="s">
        <v>344</v>
      </c>
      <c r="AM72" s="417"/>
      <c r="AN72" s="418"/>
      <c r="AO72" s="437" t="s">
        <v>358</v>
      </c>
      <c r="AP72" s="438"/>
      <c r="AQ72" s="438"/>
      <c r="AR72" s="438"/>
      <c r="AS72" s="438"/>
      <c r="AT72" s="438"/>
      <c r="AU72" s="439"/>
      <c r="AW72" s="84"/>
      <c r="AZ72" s="85"/>
      <c r="BA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</row>
    <row r="73" spans="2:96" ht="15.75" thickBot="1" x14ac:dyDescent="0.3">
      <c r="B73" s="133"/>
      <c r="C73" s="117"/>
      <c r="D73" s="240"/>
      <c r="E73" s="117"/>
      <c r="F73" s="240"/>
      <c r="G73" s="117"/>
      <c r="H73" s="241"/>
      <c r="J73" s="118"/>
      <c r="K73" s="118"/>
      <c r="L73" s="117"/>
      <c r="M73" s="117"/>
      <c r="O73"/>
      <c r="S73" s="557"/>
      <c r="T73" s="558"/>
      <c r="U73" s="559"/>
      <c r="V73" s="658"/>
      <c r="W73" s="558"/>
      <c r="X73" s="559"/>
      <c r="Y73" s="658"/>
      <c r="Z73" s="558"/>
      <c r="AA73" s="558"/>
      <c r="AB73" s="660"/>
      <c r="AD73" s="309"/>
      <c r="AE73" s="309" t="s">
        <v>348</v>
      </c>
      <c r="AF73" s="257"/>
      <c r="AG73" s="257"/>
      <c r="AL73" s="381" t="s">
        <v>345</v>
      </c>
      <c r="AM73" s="382"/>
      <c r="AN73" s="383"/>
      <c r="AO73" s="393" t="s">
        <v>624</v>
      </c>
      <c r="AP73" s="394"/>
      <c r="AQ73" s="394"/>
      <c r="AR73" s="394"/>
      <c r="AS73" s="394"/>
      <c r="AT73" s="394"/>
      <c r="AU73" s="395"/>
      <c r="AW73" s="84"/>
      <c r="AZ73" s="85"/>
      <c r="BA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</row>
    <row r="74" spans="2:96" ht="15" customHeight="1" thickTop="1" thickBot="1" x14ac:dyDescent="0.3">
      <c r="C74" s="117"/>
      <c r="D74" s="118"/>
      <c r="E74" s="118"/>
      <c r="F74" s="118"/>
      <c r="G74" s="118"/>
      <c r="H74" s="118"/>
      <c r="I74" s="118"/>
      <c r="J74" s="242"/>
      <c r="K74" s="242"/>
      <c r="L74" s="243"/>
      <c r="M74" s="243"/>
      <c r="O74"/>
      <c r="P74" s="257" t="s">
        <v>341</v>
      </c>
      <c r="Q74" s="255"/>
      <c r="R74" s="117"/>
      <c r="S74" s="419" t="s">
        <v>343</v>
      </c>
      <c r="T74" s="420"/>
      <c r="U74" s="421"/>
      <c r="V74" s="422" t="s">
        <v>344</v>
      </c>
      <c r="W74" s="423"/>
      <c r="X74" s="424"/>
      <c r="Y74" s="425" t="s">
        <v>345</v>
      </c>
      <c r="Z74" s="426"/>
      <c r="AA74" s="426"/>
      <c r="AB74" s="427"/>
      <c r="AD74" s="258"/>
      <c r="AE74" s="259"/>
      <c r="AF74" s="259"/>
      <c r="AG74" s="260"/>
      <c r="AI74" s="257"/>
      <c r="AJ74" s="255"/>
      <c r="AK74" s="117"/>
      <c r="AL74" s="384"/>
      <c r="AM74" s="385"/>
      <c r="AN74" s="386"/>
      <c r="AO74" s="431"/>
      <c r="AP74" s="432"/>
      <c r="AQ74" s="432"/>
      <c r="AR74" s="432"/>
      <c r="AS74" s="432"/>
      <c r="AT74" s="432"/>
      <c r="AU74" s="433"/>
      <c r="AW74" s="88"/>
      <c r="AX74" s="89"/>
      <c r="AY74" s="89"/>
      <c r="AZ74" s="261"/>
      <c r="BA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</row>
    <row r="75" spans="2:96" ht="15" customHeight="1" x14ac:dyDescent="0.25">
      <c r="C75" s="117"/>
      <c r="D75" s="118"/>
      <c r="E75" s="118"/>
      <c r="F75" s="118"/>
      <c r="G75" s="118"/>
      <c r="H75" s="118"/>
      <c r="I75" s="118"/>
      <c r="J75" s="242"/>
      <c r="K75" s="242"/>
      <c r="L75" s="243"/>
      <c r="M75" s="243"/>
      <c r="O75"/>
      <c r="P75" s="257" t="s">
        <v>575</v>
      </c>
      <c r="Q75" s="255"/>
      <c r="S75" s="455" t="s">
        <v>343</v>
      </c>
      <c r="T75" s="456"/>
      <c r="U75" s="457"/>
      <c r="V75" s="458" t="s">
        <v>344</v>
      </c>
      <c r="W75" s="459"/>
      <c r="X75" s="460"/>
      <c r="Y75" s="461" t="s">
        <v>345</v>
      </c>
      <c r="Z75" s="462"/>
      <c r="AA75" s="462"/>
      <c r="AB75" s="463"/>
      <c r="AD75" s="84"/>
      <c r="AG75" s="85"/>
      <c r="AI75" s="257"/>
      <c r="AJ75" s="255"/>
      <c r="BA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</row>
    <row r="76" spans="2:96" ht="15.75" customHeight="1" x14ac:dyDescent="0.25">
      <c r="C76" s="117"/>
      <c r="D76" s="118"/>
      <c r="E76" s="118"/>
      <c r="F76" s="118"/>
      <c r="G76" s="118"/>
      <c r="H76" s="118"/>
      <c r="I76" s="118"/>
      <c r="J76" s="242"/>
      <c r="K76" s="242"/>
      <c r="L76" s="243"/>
      <c r="M76" s="243"/>
      <c r="O76"/>
      <c r="P76" s="257" t="s">
        <v>342</v>
      </c>
      <c r="Q76" s="255"/>
      <c r="S76" s="455" t="s">
        <v>343</v>
      </c>
      <c r="T76" s="456"/>
      <c r="U76" s="457"/>
      <c r="V76" s="458" t="s">
        <v>344</v>
      </c>
      <c r="W76" s="459"/>
      <c r="X76" s="460"/>
      <c r="Y76" s="461" t="s">
        <v>345</v>
      </c>
      <c r="Z76" s="462"/>
      <c r="AA76" s="462"/>
      <c r="AB76" s="463"/>
      <c r="AD76" s="84"/>
      <c r="AG76" s="85"/>
      <c r="AI76" s="256"/>
      <c r="AJ76" s="256" t="s">
        <v>359</v>
      </c>
      <c r="BA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</row>
    <row r="77" spans="2:96" ht="15.75" thickBot="1" x14ac:dyDescent="0.3">
      <c r="C77" s="117"/>
      <c r="D77" s="118"/>
      <c r="E77" s="118"/>
      <c r="F77" s="118"/>
      <c r="G77" s="118"/>
      <c r="H77" s="118"/>
      <c r="I77" s="118"/>
      <c r="J77" s="242"/>
      <c r="K77" s="242"/>
      <c r="L77" s="243"/>
      <c r="M77" s="243"/>
      <c r="O77"/>
      <c r="P77" s="257" t="s">
        <v>577</v>
      </c>
      <c r="Q77" s="255"/>
      <c r="S77" s="575" t="s">
        <v>343</v>
      </c>
      <c r="T77" s="576"/>
      <c r="U77" s="577"/>
      <c r="V77" s="578" t="s">
        <v>344</v>
      </c>
      <c r="W77" s="579"/>
      <c r="X77" s="580"/>
      <c r="Y77" s="581" t="s">
        <v>345</v>
      </c>
      <c r="Z77" s="582"/>
      <c r="AA77" s="582"/>
      <c r="AB77" s="583"/>
      <c r="AD77" s="88"/>
      <c r="AE77" s="89"/>
      <c r="AF77" s="89"/>
      <c r="AG77" s="261"/>
      <c r="AI77" s="256"/>
      <c r="AL77" s="252"/>
      <c r="AM77" s="252"/>
      <c r="AN77" s="252"/>
      <c r="AO77" s="252"/>
      <c r="BA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</row>
    <row r="78" spans="2:96" ht="15" customHeight="1" x14ac:dyDescent="0.25">
      <c r="C78" s="117"/>
      <c r="D78" s="118"/>
      <c r="E78" s="118"/>
      <c r="F78" s="118"/>
      <c r="G78" s="118"/>
      <c r="H78" s="118"/>
      <c r="I78" s="118"/>
      <c r="J78" s="242"/>
      <c r="K78" s="242"/>
      <c r="L78" s="243"/>
      <c r="M78" s="243"/>
      <c r="O78"/>
      <c r="AL78" s="434" t="s">
        <v>343</v>
      </c>
      <c r="AM78" s="435"/>
      <c r="AN78" s="436"/>
      <c r="AO78" s="428" t="s">
        <v>578</v>
      </c>
      <c r="AP78" s="429"/>
      <c r="AQ78" s="429"/>
      <c r="AR78" s="429"/>
      <c r="AS78" s="429"/>
      <c r="AT78" s="429"/>
      <c r="AU78" s="430"/>
      <c r="AW78" s="258"/>
      <c r="AX78" s="259"/>
      <c r="AY78" s="259"/>
      <c r="AZ78" s="260"/>
      <c r="BA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</row>
    <row r="79" spans="2:96" ht="15" customHeight="1" x14ac:dyDescent="0.25">
      <c r="C79" s="117"/>
      <c r="D79" s="118"/>
      <c r="E79" s="118"/>
      <c r="F79" s="118"/>
      <c r="G79" s="118"/>
      <c r="H79" s="118"/>
      <c r="I79" s="118"/>
      <c r="J79" s="242"/>
      <c r="K79" s="242"/>
      <c r="L79" s="243"/>
      <c r="M79" s="243"/>
      <c r="O79"/>
      <c r="P79" s="256" t="s">
        <v>606</v>
      </c>
      <c r="S79" s="252"/>
      <c r="T79" s="252"/>
      <c r="U79" s="252"/>
      <c r="V79" s="252"/>
      <c r="AL79" s="416" t="s">
        <v>344</v>
      </c>
      <c r="AM79" s="417"/>
      <c r="AN79" s="418"/>
      <c r="AO79" s="437" t="s">
        <v>579</v>
      </c>
      <c r="AP79" s="438"/>
      <c r="AQ79" s="438"/>
      <c r="AR79" s="438"/>
      <c r="AS79" s="438"/>
      <c r="AT79" s="438"/>
      <c r="AU79" s="439"/>
      <c r="AW79" s="84"/>
      <c r="AZ79" s="85"/>
      <c r="BA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2:96" ht="12.75" customHeight="1" thickBot="1" x14ac:dyDescent="0.3">
      <c r="C80" s="117"/>
      <c r="D80" s="118"/>
      <c r="E80" s="118"/>
      <c r="F80" s="118"/>
      <c r="G80" s="118"/>
      <c r="H80" s="118"/>
      <c r="I80" s="118"/>
      <c r="J80" s="242"/>
      <c r="K80" s="242"/>
      <c r="L80" s="243"/>
      <c r="M80" s="243"/>
      <c r="O80"/>
      <c r="AI80" s="246"/>
      <c r="AL80" s="381" t="s">
        <v>345</v>
      </c>
      <c r="AM80" s="382"/>
      <c r="AN80" s="383"/>
      <c r="AO80" s="440" t="s">
        <v>580</v>
      </c>
      <c r="AP80" s="441"/>
      <c r="AQ80" s="441"/>
      <c r="AR80" s="441"/>
      <c r="AS80" s="441"/>
      <c r="AT80" s="441"/>
      <c r="AU80" s="442"/>
      <c r="AW80" s="84"/>
      <c r="AZ80" s="85"/>
      <c r="BA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2:96" ht="15" customHeight="1" thickBot="1" x14ac:dyDescent="0.3">
      <c r="C81" s="117"/>
      <c r="D81" s="118"/>
      <c r="E81" s="118"/>
      <c r="F81" s="118"/>
      <c r="G81" s="118"/>
      <c r="H81" s="118"/>
      <c r="I81" s="118"/>
      <c r="J81" s="242"/>
      <c r="K81" s="242"/>
      <c r="L81" s="243"/>
      <c r="M81" s="243"/>
      <c r="O81"/>
      <c r="S81" s="552" t="s">
        <v>352</v>
      </c>
      <c r="T81" s="388"/>
      <c r="U81" s="553"/>
      <c r="V81" s="661" t="s">
        <v>351</v>
      </c>
      <c r="W81" s="662"/>
      <c r="X81" s="663"/>
      <c r="Y81" s="387" t="s">
        <v>350</v>
      </c>
      <c r="Z81" s="388"/>
      <c r="AA81" s="388"/>
      <c r="AB81" s="389"/>
      <c r="AL81" s="384"/>
      <c r="AM81" s="385"/>
      <c r="AN81" s="386"/>
      <c r="AO81" s="443"/>
      <c r="AP81" s="444"/>
      <c r="AQ81" s="444"/>
      <c r="AR81" s="444"/>
      <c r="AS81" s="444"/>
      <c r="AT81" s="444"/>
      <c r="AU81" s="445"/>
      <c r="AW81" s="88"/>
      <c r="AX81" s="89"/>
      <c r="AY81" s="89"/>
      <c r="AZ81" s="261"/>
      <c r="BA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2:96" ht="15" x14ac:dyDescent="0.25">
      <c r="J82" s="132"/>
      <c r="L82" s="132"/>
      <c r="M82" s="132"/>
      <c r="O82"/>
      <c r="P82" s="246" t="s">
        <v>353</v>
      </c>
      <c r="S82" s="554"/>
      <c r="T82" s="555"/>
      <c r="U82" s="556"/>
      <c r="V82" s="664"/>
      <c r="W82" s="665"/>
      <c r="X82" s="666"/>
      <c r="Y82" s="657"/>
      <c r="Z82" s="555"/>
      <c r="AA82" s="555"/>
      <c r="AB82" s="659"/>
      <c r="AI82" s="257"/>
      <c r="AJ82" s="255"/>
      <c r="BA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2:96" ht="15.75" thickBot="1" x14ac:dyDescent="0.3">
      <c r="C83" s="117"/>
      <c r="D83" s="118"/>
      <c r="E83" s="118"/>
      <c r="F83" s="118"/>
      <c r="G83" s="118"/>
      <c r="H83" s="118"/>
      <c r="I83" s="51"/>
      <c r="J83" s="132"/>
      <c r="L83" s="132"/>
      <c r="M83" s="132"/>
      <c r="O83"/>
      <c r="S83" s="557"/>
      <c r="T83" s="558"/>
      <c r="U83" s="559"/>
      <c r="V83" s="667"/>
      <c r="W83" s="668"/>
      <c r="X83" s="669"/>
      <c r="Y83" s="658"/>
      <c r="Z83" s="558"/>
      <c r="AA83" s="558"/>
      <c r="AB83" s="660"/>
      <c r="AH83" s="78"/>
      <c r="AI83" s="257"/>
      <c r="AJ83" s="256" t="s">
        <v>615</v>
      </c>
      <c r="BA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</row>
    <row r="84" spans="2:96" ht="16.5" thickTop="1" thickBot="1" x14ac:dyDescent="0.3">
      <c r="B84" s="69"/>
      <c r="C84" s="119"/>
      <c r="D84" s="118"/>
      <c r="E84" s="120"/>
      <c r="F84" s="120"/>
      <c r="G84" s="120"/>
      <c r="H84" s="120"/>
      <c r="J84" s="132"/>
      <c r="L84" s="132"/>
      <c r="M84" s="132"/>
      <c r="O84"/>
      <c r="P84" s="257" t="s">
        <v>341</v>
      </c>
      <c r="Q84" s="255"/>
      <c r="R84" s="117"/>
      <c r="S84" s="419" t="s">
        <v>343</v>
      </c>
      <c r="T84" s="420"/>
      <c r="U84" s="421"/>
      <c r="V84" s="422" t="s">
        <v>344</v>
      </c>
      <c r="W84" s="423"/>
      <c r="X84" s="424"/>
      <c r="Y84" s="425" t="s">
        <v>345</v>
      </c>
      <c r="Z84" s="426"/>
      <c r="AA84" s="426"/>
      <c r="AB84" s="427"/>
      <c r="AD84" s="258"/>
      <c r="AE84" s="259"/>
      <c r="AF84" s="259"/>
      <c r="AG84" s="260"/>
      <c r="AH84" s="77"/>
      <c r="AI84" s="256"/>
      <c r="AJ84" s="256"/>
      <c r="AL84" s="252"/>
      <c r="AM84" s="252"/>
      <c r="AN84" s="252"/>
      <c r="AO84" s="252"/>
      <c r="BA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</row>
    <row r="85" spans="2:96" ht="12.95" customHeight="1" x14ac:dyDescent="0.25">
      <c r="C85" s="117"/>
      <c r="D85" s="118"/>
      <c r="E85" s="118"/>
      <c r="F85" s="118"/>
      <c r="G85" s="118"/>
      <c r="H85" s="118"/>
      <c r="J85" s="132"/>
      <c r="L85" s="132"/>
      <c r="M85" s="132"/>
      <c r="O85"/>
      <c r="P85" s="257" t="s">
        <v>575</v>
      </c>
      <c r="Q85" s="255"/>
      <c r="S85" s="455" t="s">
        <v>343</v>
      </c>
      <c r="T85" s="456"/>
      <c r="U85" s="457"/>
      <c r="V85" s="458" t="s">
        <v>344</v>
      </c>
      <c r="W85" s="459"/>
      <c r="X85" s="460"/>
      <c r="Y85" s="461" t="s">
        <v>345</v>
      </c>
      <c r="Z85" s="462"/>
      <c r="AA85" s="462"/>
      <c r="AB85" s="463"/>
      <c r="AD85" s="84"/>
      <c r="AG85" s="85"/>
      <c r="AH85" s="77"/>
      <c r="AL85" s="434" t="s">
        <v>343</v>
      </c>
      <c r="AM85" s="435"/>
      <c r="AN85" s="436"/>
      <c r="AO85" s="428" t="s">
        <v>608</v>
      </c>
      <c r="AP85" s="429"/>
      <c r="AQ85" s="429"/>
      <c r="AR85" s="429"/>
      <c r="AS85" s="429"/>
      <c r="AT85" s="429"/>
      <c r="AU85" s="430"/>
      <c r="AW85" s="258"/>
      <c r="AX85" s="259"/>
      <c r="AY85" s="259"/>
      <c r="AZ85" s="260"/>
      <c r="BA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</row>
    <row r="86" spans="2:96" ht="15" customHeight="1" x14ac:dyDescent="0.25">
      <c r="B86" s="69"/>
      <c r="C86" s="117"/>
      <c r="D86" s="118"/>
      <c r="E86" s="118"/>
      <c r="F86" s="118"/>
      <c r="G86" s="118"/>
      <c r="H86" s="118"/>
      <c r="J86" s="132"/>
      <c r="L86" s="132"/>
      <c r="O86"/>
      <c r="P86" s="257" t="s">
        <v>342</v>
      </c>
      <c r="Q86" s="255"/>
      <c r="S86" s="455" t="s">
        <v>343</v>
      </c>
      <c r="T86" s="456"/>
      <c r="U86" s="457"/>
      <c r="V86" s="458" t="s">
        <v>344</v>
      </c>
      <c r="W86" s="459"/>
      <c r="X86" s="460"/>
      <c r="Y86" s="461" t="s">
        <v>345</v>
      </c>
      <c r="Z86" s="462"/>
      <c r="AA86" s="462"/>
      <c r="AB86" s="463"/>
      <c r="AD86" s="84"/>
      <c r="AG86" s="85"/>
      <c r="AH86" s="77"/>
      <c r="AL86" s="416" t="s">
        <v>344</v>
      </c>
      <c r="AM86" s="417"/>
      <c r="AN86" s="418"/>
      <c r="AO86" s="446" t="s">
        <v>614</v>
      </c>
      <c r="AP86" s="438"/>
      <c r="AQ86" s="438"/>
      <c r="AR86" s="438"/>
      <c r="AS86" s="438"/>
      <c r="AT86" s="438"/>
      <c r="AU86" s="439"/>
      <c r="AW86" s="84"/>
      <c r="AZ86" s="85"/>
      <c r="BA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</row>
    <row r="87" spans="2:96" ht="15.75" thickBot="1" x14ac:dyDescent="0.3">
      <c r="C87" s="117"/>
      <c r="D87" s="118"/>
      <c r="E87" s="118"/>
      <c r="F87" s="118"/>
      <c r="G87" s="118"/>
      <c r="H87" s="118"/>
      <c r="J87" s="132"/>
      <c r="L87" s="132"/>
      <c r="O87"/>
      <c r="P87" s="257" t="s">
        <v>577</v>
      </c>
      <c r="Q87" s="78"/>
      <c r="R87" s="78"/>
      <c r="S87" s="575" t="s">
        <v>343</v>
      </c>
      <c r="T87" s="576"/>
      <c r="U87" s="577"/>
      <c r="V87" s="578" t="s">
        <v>344</v>
      </c>
      <c r="W87" s="579"/>
      <c r="X87" s="580"/>
      <c r="Y87" s="581" t="s">
        <v>345</v>
      </c>
      <c r="Z87" s="582"/>
      <c r="AA87" s="582"/>
      <c r="AB87" s="583"/>
      <c r="AC87" s="78"/>
      <c r="AD87" s="88"/>
      <c r="AE87" s="89"/>
      <c r="AF87" s="89"/>
      <c r="AG87" s="261"/>
      <c r="AH87" s="77"/>
      <c r="AI87" s="246"/>
      <c r="AL87" s="381" t="s">
        <v>576</v>
      </c>
      <c r="AM87" s="382"/>
      <c r="AN87" s="383"/>
      <c r="AO87" s="440" t="s">
        <v>609</v>
      </c>
      <c r="AP87" s="441"/>
      <c r="AQ87" s="441"/>
      <c r="AR87" s="441"/>
      <c r="AS87" s="441"/>
      <c r="AT87" s="441"/>
      <c r="AU87" s="442"/>
      <c r="AW87" s="84"/>
      <c r="AZ87" s="85"/>
      <c r="BA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</row>
    <row r="88" spans="2:96" ht="14.1" customHeight="1" thickBot="1" x14ac:dyDescent="0.3">
      <c r="C88" s="117"/>
      <c r="D88" s="118"/>
      <c r="E88" s="118"/>
      <c r="F88" s="118"/>
      <c r="G88" s="118"/>
      <c r="H88" s="118"/>
      <c r="J88" s="132"/>
      <c r="L88" s="132"/>
      <c r="O88"/>
      <c r="P88" s="256"/>
      <c r="S88" s="252"/>
      <c r="T88" s="252"/>
      <c r="U88" s="252"/>
      <c r="V88" s="252"/>
      <c r="AL88" s="384"/>
      <c r="AM88" s="385"/>
      <c r="AN88" s="386"/>
      <c r="AO88" s="443"/>
      <c r="AP88" s="444"/>
      <c r="AQ88" s="444"/>
      <c r="AR88" s="444"/>
      <c r="AS88" s="444"/>
      <c r="AT88" s="444"/>
      <c r="AU88" s="445"/>
      <c r="AW88" s="88"/>
      <c r="AX88" s="89"/>
      <c r="AY88" s="89"/>
      <c r="AZ88" s="261"/>
      <c r="BA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</row>
    <row r="89" spans="2:96" ht="15" x14ac:dyDescent="0.25">
      <c r="C89" s="117"/>
      <c r="D89" s="118"/>
      <c r="E89" s="118"/>
      <c r="F89" s="118"/>
      <c r="G89" s="118"/>
      <c r="H89" s="118"/>
      <c r="O89"/>
      <c r="P89" s="256" t="s">
        <v>349</v>
      </c>
      <c r="S89" s="252"/>
      <c r="T89" s="252"/>
      <c r="U89" s="252"/>
      <c r="V89" s="252"/>
      <c r="BA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</row>
    <row r="90" spans="2:96" ht="12.75" customHeight="1" thickBot="1" x14ac:dyDescent="0.3">
      <c r="B90" s="69"/>
      <c r="C90" s="119"/>
      <c r="D90" s="118"/>
      <c r="E90" s="120"/>
      <c r="F90" s="120"/>
      <c r="G90" s="120"/>
      <c r="H90" s="120"/>
      <c r="O90"/>
      <c r="AI90" s="257"/>
      <c r="AJ90" s="256" t="s">
        <v>581</v>
      </c>
      <c r="BA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</row>
    <row r="91" spans="2:96" ht="15.75" customHeight="1" thickBot="1" x14ac:dyDescent="0.3">
      <c r="L91" s="51"/>
      <c r="O91"/>
      <c r="S91" s="552" t="s">
        <v>354</v>
      </c>
      <c r="T91" s="388"/>
      <c r="U91" s="553"/>
      <c r="V91" s="560" t="s">
        <v>607</v>
      </c>
      <c r="W91" s="561"/>
      <c r="X91" s="562"/>
      <c r="Y91" s="670" t="s">
        <v>355</v>
      </c>
      <c r="Z91" s="671"/>
      <c r="AA91" s="671"/>
      <c r="AB91" s="672"/>
      <c r="BA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</row>
    <row r="92" spans="2:96" ht="15" customHeight="1" x14ac:dyDescent="0.25">
      <c r="L92" s="132"/>
      <c r="O92"/>
      <c r="P92" s="246" t="s">
        <v>353</v>
      </c>
      <c r="S92" s="554"/>
      <c r="T92" s="555"/>
      <c r="U92" s="556"/>
      <c r="V92" s="563"/>
      <c r="W92" s="564"/>
      <c r="X92" s="565"/>
      <c r="Y92" s="673"/>
      <c r="Z92" s="674"/>
      <c r="AA92" s="674"/>
      <c r="AB92" s="675"/>
      <c r="AL92" s="402" t="s">
        <v>343</v>
      </c>
      <c r="AM92" s="403"/>
      <c r="AN92" s="404"/>
      <c r="AO92" s="387" t="s">
        <v>360</v>
      </c>
      <c r="AP92" s="388"/>
      <c r="AQ92" s="388"/>
      <c r="AR92" s="388"/>
      <c r="AS92" s="388"/>
      <c r="AT92" s="388"/>
      <c r="AU92" s="389"/>
      <c r="BA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</row>
    <row r="93" spans="2:96" ht="15.95" customHeight="1" thickBot="1" x14ac:dyDescent="0.3">
      <c r="L93" s="132"/>
      <c r="O93"/>
      <c r="S93" s="557"/>
      <c r="T93" s="558"/>
      <c r="U93" s="559"/>
      <c r="V93" s="566"/>
      <c r="W93" s="567"/>
      <c r="X93" s="568"/>
      <c r="Y93" s="676"/>
      <c r="Z93" s="677"/>
      <c r="AA93" s="677"/>
      <c r="AB93" s="678"/>
      <c r="AI93" s="256"/>
      <c r="AL93" s="405"/>
      <c r="AM93" s="406"/>
      <c r="AN93" s="407"/>
      <c r="AO93" s="390"/>
      <c r="AP93" s="391"/>
      <c r="AQ93" s="391"/>
      <c r="AR93" s="391"/>
      <c r="AS93" s="391"/>
      <c r="AT93" s="391"/>
      <c r="AU93" s="392"/>
      <c r="BA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</row>
    <row r="94" spans="2:96" ht="12.95" customHeight="1" thickTop="1" x14ac:dyDescent="0.25">
      <c r="L94" s="132"/>
      <c r="O94"/>
      <c r="P94" s="257" t="s">
        <v>341</v>
      </c>
      <c r="Q94" s="255"/>
      <c r="R94" s="117"/>
      <c r="S94" s="419" t="s">
        <v>343</v>
      </c>
      <c r="T94" s="420"/>
      <c r="U94" s="421"/>
      <c r="V94" s="422" t="s">
        <v>344</v>
      </c>
      <c r="W94" s="423"/>
      <c r="X94" s="424"/>
      <c r="Y94" s="425" t="s">
        <v>576</v>
      </c>
      <c r="Z94" s="426"/>
      <c r="AA94" s="426"/>
      <c r="AB94" s="427"/>
      <c r="AD94" s="258"/>
      <c r="AE94" s="259"/>
      <c r="AF94" s="259"/>
      <c r="AG94" s="260"/>
      <c r="AL94" s="396" t="s">
        <v>344</v>
      </c>
      <c r="AM94" s="397"/>
      <c r="AN94" s="398"/>
      <c r="AO94" s="393" t="s">
        <v>582</v>
      </c>
      <c r="AP94" s="394"/>
      <c r="AQ94" s="394"/>
      <c r="AR94" s="394"/>
      <c r="AS94" s="394"/>
      <c r="AT94" s="394"/>
      <c r="AU94" s="395"/>
      <c r="AW94" s="258"/>
      <c r="AX94" s="259"/>
      <c r="AY94" s="259"/>
      <c r="AZ94" s="260"/>
      <c r="BA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</row>
    <row r="95" spans="2:96" ht="14.1" customHeight="1" x14ac:dyDescent="0.25">
      <c r="L95" s="132"/>
      <c r="O95"/>
      <c r="P95" s="257" t="s">
        <v>575</v>
      </c>
      <c r="Q95" s="255"/>
      <c r="S95" s="455" t="s">
        <v>343</v>
      </c>
      <c r="T95" s="456"/>
      <c r="U95" s="457"/>
      <c r="V95" s="458" t="s">
        <v>344</v>
      </c>
      <c r="W95" s="459"/>
      <c r="X95" s="460"/>
      <c r="Y95" s="461" t="s">
        <v>576</v>
      </c>
      <c r="Z95" s="462"/>
      <c r="AA95" s="462"/>
      <c r="AB95" s="463"/>
      <c r="AD95" s="84"/>
      <c r="AG95" s="85"/>
      <c r="AL95" s="399"/>
      <c r="AM95" s="400"/>
      <c r="AN95" s="401"/>
      <c r="AO95" s="390"/>
      <c r="AP95" s="391"/>
      <c r="AQ95" s="391"/>
      <c r="AR95" s="391"/>
      <c r="AS95" s="391"/>
      <c r="AT95" s="391"/>
      <c r="AU95" s="392"/>
      <c r="AW95" s="84"/>
      <c r="AZ95" s="85"/>
      <c r="BA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</row>
    <row r="96" spans="2:96" ht="14.1" customHeight="1" x14ac:dyDescent="0.25">
      <c r="L96" s="132"/>
      <c r="O96"/>
      <c r="P96" s="257" t="s">
        <v>342</v>
      </c>
      <c r="Q96" s="255"/>
      <c r="S96" s="455" t="s">
        <v>343</v>
      </c>
      <c r="T96" s="456"/>
      <c r="U96" s="457"/>
      <c r="V96" s="458" t="s">
        <v>344</v>
      </c>
      <c r="W96" s="459"/>
      <c r="X96" s="460"/>
      <c r="Y96" s="461" t="s">
        <v>576</v>
      </c>
      <c r="Z96" s="462"/>
      <c r="AA96" s="462"/>
      <c r="AB96" s="463"/>
      <c r="AD96" s="84"/>
      <c r="AG96" s="85"/>
      <c r="AL96" s="381" t="s">
        <v>345</v>
      </c>
      <c r="AM96" s="382"/>
      <c r="AN96" s="383"/>
      <c r="AO96" s="449" t="s">
        <v>583</v>
      </c>
      <c r="AP96" s="450"/>
      <c r="AQ96" s="450"/>
      <c r="AR96" s="450"/>
      <c r="AS96" s="450"/>
      <c r="AT96" s="450"/>
      <c r="AU96" s="451"/>
      <c r="AW96" s="84"/>
      <c r="AZ96" s="85"/>
      <c r="BA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1:96" ht="14.1" customHeight="1" thickBot="1" x14ac:dyDescent="0.3">
      <c r="L97" s="132"/>
      <c r="O97"/>
      <c r="P97" s="257" t="s">
        <v>577</v>
      </c>
      <c r="Q97" s="255"/>
      <c r="S97" s="575" t="s">
        <v>343</v>
      </c>
      <c r="T97" s="576"/>
      <c r="U97" s="577"/>
      <c r="V97" s="578" t="s">
        <v>344</v>
      </c>
      <c r="W97" s="579"/>
      <c r="X97" s="580"/>
      <c r="Y97" s="581" t="s">
        <v>576</v>
      </c>
      <c r="Z97" s="582"/>
      <c r="AA97" s="582"/>
      <c r="AB97" s="583"/>
      <c r="AD97" s="88"/>
      <c r="AE97" s="89"/>
      <c r="AF97" s="89"/>
      <c r="AG97" s="261"/>
      <c r="AI97" s="254"/>
      <c r="AL97" s="384"/>
      <c r="AM97" s="385"/>
      <c r="AN97" s="386"/>
      <c r="AO97" s="452"/>
      <c r="AP97" s="453"/>
      <c r="AQ97" s="453"/>
      <c r="AR97" s="453"/>
      <c r="AS97" s="453"/>
      <c r="AT97" s="453"/>
      <c r="AU97" s="454"/>
      <c r="AW97" s="88"/>
      <c r="AX97" s="89"/>
      <c r="AY97" s="89"/>
      <c r="AZ97" s="261"/>
      <c r="BA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1:96" ht="15" x14ac:dyDescent="0.25">
      <c r="L98" s="132"/>
      <c r="O98"/>
      <c r="P98" s="62"/>
      <c r="Q98" s="62"/>
      <c r="R98" s="62"/>
      <c r="S98" s="62"/>
      <c r="X98" s="62"/>
      <c r="AA98" s="140"/>
      <c r="BA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1:96" ht="12.95" customHeight="1" thickBot="1" x14ac:dyDescent="0.3">
      <c r="L99" s="132"/>
      <c r="O99"/>
      <c r="Q99" s="69" t="s">
        <v>361</v>
      </c>
      <c r="AI99" s="257"/>
      <c r="AJ99" s="255"/>
      <c r="BA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1:96" ht="15.75" thickBot="1" x14ac:dyDescent="0.3">
      <c r="A100" s="69"/>
      <c r="H100" s="69"/>
      <c r="L100" s="132"/>
      <c r="O100"/>
      <c r="R100" s="569" t="s">
        <v>589</v>
      </c>
      <c r="S100" s="570"/>
      <c r="T100" s="570"/>
      <c r="U100" s="570"/>
      <c r="V100" s="570"/>
      <c r="W100" s="570"/>
      <c r="X100" s="570"/>
      <c r="Y100" s="570"/>
      <c r="Z100" s="571"/>
      <c r="AA100" s="572" t="s">
        <v>590</v>
      </c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  <c r="AO100" s="573"/>
      <c r="AP100" s="573"/>
      <c r="AQ100" s="573"/>
      <c r="AR100" s="573"/>
      <c r="AS100" s="573"/>
      <c r="AT100" s="573"/>
      <c r="AU100" s="574"/>
      <c r="BA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1:96" ht="15.75" thickTop="1" x14ac:dyDescent="0.25">
      <c r="A101" s="78"/>
      <c r="B101" s="122"/>
      <c r="C101" s="122"/>
      <c r="D101" s="122"/>
      <c r="E101" s="122"/>
      <c r="F101" s="122"/>
      <c r="I101" s="78"/>
      <c r="J101" s="123"/>
      <c r="K101" s="122"/>
      <c r="L101" s="122"/>
      <c r="M101" s="122"/>
      <c r="O101"/>
      <c r="R101" s="530" t="s">
        <v>343</v>
      </c>
      <c r="S101" s="531"/>
      <c r="T101" s="532"/>
      <c r="U101" s="536" t="s">
        <v>344</v>
      </c>
      <c r="V101" s="397"/>
      <c r="W101" s="398"/>
      <c r="X101" s="540" t="s">
        <v>345</v>
      </c>
      <c r="Y101" s="382"/>
      <c r="Z101" s="383"/>
      <c r="AA101" s="542"/>
      <c r="AB101" s="543"/>
      <c r="AC101" s="543"/>
      <c r="AD101" s="543"/>
      <c r="AE101" s="543"/>
      <c r="AF101" s="543"/>
      <c r="AG101" s="543"/>
      <c r="AH101" s="543"/>
      <c r="AI101" s="543"/>
      <c r="AJ101" s="543"/>
      <c r="AK101" s="543"/>
      <c r="AL101" s="543"/>
      <c r="AM101" s="543"/>
      <c r="AN101" s="543"/>
      <c r="AO101" s="543"/>
      <c r="AP101" s="543"/>
      <c r="AQ101" s="543"/>
      <c r="AR101" s="543"/>
      <c r="AS101" s="543"/>
      <c r="AT101" s="543"/>
      <c r="AU101" s="544"/>
      <c r="BA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1:96" ht="15.75" thickBot="1" x14ac:dyDescent="0.3">
      <c r="I102" s="78"/>
      <c r="J102" s="123"/>
      <c r="K102" s="122"/>
      <c r="L102" s="122"/>
      <c r="M102" s="122"/>
      <c r="O102"/>
      <c r="R102" s="533"/>
      <c r="S102" s="534"/>
      <c r="T102" s="535"/>
      <c r="U102" s="537"/>
      <c r="V102" s="538"/>
      <c r="W102" s="539"/>
      <c r="X102" s="541"/>
      <c r="Y102" s="385"/>
      <c r="Z102" s="386"/>
      <c r="AA102" s="545"/>
      <c r="AB102" s="546"/>
      <c r="AC102" s="546"/>
      <c r="AD102" s="546"/>
      <c r="AE102" s="546"/>
      <c r="AF102" s="546"/>
      <c r="AG102" s="546"/>
      <c r="AH102" s="546"/>
      <c r="AI102" s="546"/>
      <c r="AJ102" s="546"/>
      <c r="AK102" s="546"/>
      <c r="AL102" s="546"/>
      <c r="AM102" s="546"/>
      <c r="AN102" s="546"/>
      <c r="AO102" s="546"/>
      <c r="AP102" s="546"/>
      <c r="AQ102" s="546"/>
      <c r="AR102" s="546"/>
      <c r="AS102" s="546"/>
      <c r="AT102" s="546"/>
      <c r="AU102" s="547"/>
      <c r="BA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1:96" ht="14.1" customHeight="1" thickBot="1" x14ac:dyDescent="0.3">
      <c r="A103" s="78"/>
      <c r="I103" s="78"/>
      <c r="J103" s="123"/>
      <c r="K103" s="122"/>
      <c r="L103" s="122"/>
      <c r="M103" s="122"/>
      <c r="O103" s="244"/>
      <c r="P103"/>
      <c r="Q103"/>
      <c r="R103"/>
      <c r="S103"/>
      <c r="T103"/>
      <c r="U103"/>
      <c r="V103"/>
      <c r="W103"/>
      <c r="X103" s="262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 s="262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1:96" ht="14.1" customHeight="1" thickBot="1" x14ac:dyDescent="0.3">
      <c r="I104" s="78"/>
      <c r="J104" s="123"/>
      <c r="K104" s="122"/>
      <c r="L104" s="122"/>
      <c r="M104" s="122"/>
      <c r="O104" s="247"/>
      <c r="P104" s="605" t="s">
        <v>595</v>
      </c>
      <c r="Q104" s="606"/>
      <c r="R104" s="606"/>
      <c r="S104" s="606"/>
      <c r="T104" s="606"/>
      <c r="U104" s="606"/>
      <c r="V104" s="606"/>
      <c r="W104" s="607"/>
      <c r="X104" s="262"/>
      <c r="Y104" s="648" t="s">
        <v>584</v>
      </c>
      <c r="Z104" s="649"/>
      <c r="AA104" s="649"/>
      <c r="AB104" s="649"/>
      <c r="AC104" s="649"/>
      <c r="AD104" s="649"/>
      <c r="AE104" s="649"/>
      <c r="AF104" s="649"/>
      <c r="AG104" s="649"/>
      <c r="AH104" s="649"/>
      <c r="AI104" s="649"/>
      <c r="AJ104" s="649"/>
      <c r="AK104" s="649"/>
      <c r="AL104" s="649"/>
      <c r="AM104" s="649"/>
      <c r="AN104" s="649"/>
      <c r="AO104" s="649"/>
      <c r="AP104" s="649"/>
      <c r="AQ104" s="649"/>
      <c r="AR104" s="649"/>
      <c r="AS104" s="649"/>
      <c r="AT104" s="649"/>
      <c r="AU104" s="649"/>
      <c r="AV104" s="649"/>
      <c r="AW104" s="649"/>
      <c r="AX104" s="649"/>
      <c r="AY104" s="649"/>
      <c r="AZ104" s="650"/>
      <c r="BA104" s="262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N104"/>
      <c r="CO104"/>
      <c r="CP104"/>
      <c r="CQ104"/>
      <c r="CR104"/>
    </row>
    <row r="105" spans="1:96" ht="15" x14ac:dyDescent="0.25">
      <c r="A105" s="78"/>
      <c r="B105" s="122"/>
      <c r="C105" s="122"/>
      <c r="D105" s="122"/>
      <c r="E105" s="122"/>
      <c r="F105" s="122"/>
      <c r="I105" s="78"/>
      <c r="J105" s="123"/>
      <c r="K105" s="122"/>
      <c r="L105" s="122"/>
      <c r="M105" s="122"/>
      <c r="O105" s="78"/>
      <c r="P105" s="608" t="s">
        <v>596</v>
      </c>
      <c r="Q105" s="609"/>
      <c r="R105" s="609"/>
      <c r="S105" s="609"/>
      <c r="T105" s="609"/>
      <c r="U105" s="609"/>
      <c r="V105" s="609"/>
      <c r="W105" s="610"/>
      <c r="X105" s="262"/>
      <c r="Y105" s="332"/>
      <c r="Z105" s="333"/>
      <c r="AA105" s="333"/>
      <c r="AB105" s="335" t="s">
        <v>585</v>
      </c>
      <c r="AC105" s="333"/>
      <c r="AD105" s="333"/>
      <c r="AE105" s="333"/>
      <c r="AF105" s="334"/>
      <c r="AG105" s="651" t="s">
        <v>588</v>
      </c>
      <c r="AH105" s="652"/>
      <c r="AI105" s="652"/>
      <c r="AJ105" s="652"/>
      <c r="AK105" s="652"/>
      <c r="AL105" s="652"/>
      <c r="AM105" s="652"/>
      <c r="AN105" s="652"/>
      <c r="AO105" s="652"/>
      <c r="AP105" s="653"/>
      <c r="AQ105" s="654" t="s">
        <v>593</v>
      </c>
      <c r="AR105" s="655"/>
      <c r="AS105" s="655"/>
      <c r="AT105" s="655"/>
      <c r="AU105" s="655"/>
      <c r="AV105" s="655"/>
      <c r="AW105" s="655"/>
      <c r="AX105" s="655"/>
      <c r="AY105" s="655"/>
      <c r="AZ105" s="656"/>
      <c r="BA105" s="262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N105"/>
      <c r="CO105"/>
      <c r="CP105"/>
      <c r="CQ105"/>
      <c r="CR105"/>
    </row>
    <row r="106" spans="1:96" ht="15" customHeight="1" x14ac:dyDescent="0.25">
      <c r="I106" s="78"/>
      <c r="J106" s="123"/>
      <c r="K106" s="122"/>
      <c r="L106" s="122"/>
      <c r="M106" s="122"/>
      <c r="O106" s="253"/>
      <c r="P106" s="611" t="s">
        <v>610</v>
      </c>
      <c r="Q106" s="612"/>
      <c r="R106" s="612"/>
      <c r="S106" s="612"/>
      <c r="T106" s="612"/>
      <c r="U106" s="612"/>
      <c r="V106" s="612"/>
      <c r="W106" s="613"/>
      <c r="X106" s="262"/>
      <c r="Y106" s="318"/>
      <c r="Z106" s="319"/>
      <c r="AA106" s="319"/>
      <c r="AB106" s="327" t="s">
        <v>586</v>
      </c>
      <c r="AC106" s="319"/>
      <c r="AD106" s="319"/>
      <c r="AE106" s="319"/>
      <c r="AF106" s="320"/>
      <c r="AG106" s="328" t="s">
        <v>591</v>
      </c>
      <c r="AH106" s="262"/>
      <c r="AI106" s="262"/>
      <c r="AJ106" s="262"/>
      <c r="AK106" s="262"/>
      <c r="AL106" s="262"/>
      <c r="AM106" s="262"/>
      <c r="AN106" s="262"/>
      <c r="AO106" s="351"/>
      <c r="AP106" s="352"/>
      <c r="AQ106" s="355" t="s">
        <v>617</v>
      </c>
      <c r="AR106" s="317"/>
      <c r="AS106" s="317"/>
      <c r="AT106" s="317"/>
      <c r="AU106" s="317"/>
      <c r="AV106" s="317"/>
      <c r="AW106" s="317"/>
      <c r="AX106" s="262"/>
      <c r="AY106" s="262"/>
      <c r="AZ106" s="312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</row>
    <row r="107" spans="1:96" ht="15.75" thickBot="1" x14ac:dyDescent="0.3">
      <c r="A107" s="78"/>
      <c r="B107" s="122"/>
      <c r="C107" s="122"/>
      <c r="D107" s="122"/>
      <c r="E107" s="122"/>
      <c r="I107" s="78"/>
      <c r="J107" s="123"/>
      <c r="O107" s="253"/>
      <c r="P107" s="645" t="s">
        <v>597</v>
      </c>
      <c r="Q107" s="646"/>
      <c r="R107" s="646"/>
      <c r="S107" s="646"/>
      <c r="T107" s="646"/>
      <c r="U107" s="646"/>
      <c r="V107" s="646"/>
      <c r="W107" s="647"/>
      <c r="X107" s="262"/>
      <c r="Y107" s="321"/>
      <c r="Z107" s="322"/>
      <c r="AA107" s="322"/>
      <c r="AB107" s="350" t="s">
        <v>587</v>
      </c>
      <c r="AC107" s="322"/>
      <c r="AD107" s="322"/>
      <c r="AE107" s="322"/>
      <c r="AF107" s="323"/>
      <c r="AG107" s="329" t="s">
        <v>592</v>
      </c>
      <c r="AH107" s="313"/>
      <c r="AI107" s="313"/>
      <c r="AJ107" s="313"/>
      <c r="AK107" s="313"/>
      <c r="AL107" s="313"/>
      <c r="AM107" s="313"/>
      <c r="AN107" s="313"/>
      <c r="AO107" s="330"/>
      <c r="AP107" s="353"/>
      <c r="AQ107" s="353" t="s">
        <v>594</v>
      </c>
      <c r="AR107" s="324"/>
      <c r="AS107" s="324"/>
      <c r="AT107" s="324"/>
      <c r="AU107" s="324"/>
      <c r="AV107" s="324"/>
      <c r="AW107" s="324"/>
      <c r="AX107" s="313"/>
      <c r="AY107" s="313"/>
      <c r="AZ107" s="314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</row>
    <row r="108" spans="1:96" ht="14.1" customHeight="1" thickBot="1" x14ac:dyDescent="0.3">
      <c r="B108" s="122"/>
      <c r="C108" s="122"/>
      <c r="D108" s="122"/>
      <c r="E108" s="122"/>
      <c r="I108" s="78"/>
      <c r="J108" s="123"/>
      <c r="K108" s="122"/>
      <c r="L108" s="122"/>
      <c r="M108" s="122"/>
      <c r="O108" s="262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</row>
    <row r="109" spans="1:96" ht="14.1" customHeight="1" thickBot="1" x14ac:dyDescent="0.3">
      <c r="I109" s="78"/>
      <c r="J109" s="123"/>
      <c r="K109" s="122"/>
      <c r="L109" s="122"/>
      <c r="M109" s="122"/>
      <c r="O109" s="262"/>
      <c r="P109" s="602" t="s">
        <v>362</v>
      </c>
      <c r="Q109" s="603"/>
      <c r="R109" s="603"/>
      <c r="S109" s="603"/>
      <c r="T109" s="603"/>
      <c r="U109" s="603"/>
      <c r="V109" s="603"/>
      <c r="W109" s="603"/>
      <c r="X109" s="603"/>
      <c r="Y109" s="603"/>
      <c r="Z109" s="603"/>
      <c r="AA109" s="603"/>
      <c r="AB109" s="603"/>
      <c r="AC109" s="603"/>
      <c r="AD109" s="603"/>
      <c r="AE109" s="603"/>
      <c r="AF109" s="603"/>
      <c r="AG109" s="603"/>
      <c r="AH109" s="603"/>
      <c r="AI109" s="603"/>
      <c r="AJ109" s="603"/>
      <c r="AK109" s="603"/>
      <c r="AL109" s="603"/>
      <c r="AM109" s="603"/>
      <c r="AN109" s="603"/>
      <c r="AO109" s="603"/>
      <c r="AP109" s="603"/>
      <c r="AQ109" s="603"/>
      <c r="AR109" s="603"/>
      <c r="AS109" s="603"/>
      <c r="AT109" s="603"/>
      <c r="AU109" s="603"/>
      <c r="AV109" s="603"/>
      <c r="AW109" s="603"/>
      <c r="AX109" s="603"/>
      <c r="AY109" s="603"/>
      <c r="AZ109" s="604"/>
      <c r="BD109"/>
      <c r="BE109"/>
      <c r="BF109"/>
      <c r="BG109"/>
      <c r="BH109"/>
      <c r="BI109"/>
      <c r="BJ109"/>
      <c r="BK109"/>
      <c r="BL109"/>
    </row>
    <row r="110" spans="1:96" ht="14.1" customHeight="1" x14ac:dyDescent="0.25">
      <c r="A110" s="78"/>
      <c r="B110" s="122"/>
      <c r="C110" s="122"/>
      <c r="D110" s="122"/>
      <c r="E110" s="122"/>
      <c r="I110" s="78"/>
      <c r="J110" s="123"/>
      <c r="K110" s="122"/>
      <c r="L110" s="122"/>
      <c r="M110" s="122"/>
      <c r="O110" s="262"/>
      <c r="P110" s="590" t="s">
        <v>598</v>
      </c>
      <c r="Q110" s="591"/>
      <c r="R110" s="591"/>
      <c r="S110" s="591"/>
      <c r="T110" s="591"/>
      <c r="U110" s="591"/>
      <c r="V110" s="592"/>
      <c r="W110" s="339"/>
      <c r="X110" s="331"/>
      <c r="Y110" s="614" t="s">
        <v>599</v>
      </c>
      <c r="Z110" s="591"/>
      <c r="AA110" s="591"/>
      <c r="AB110" s="591"/>
      <c r="AC110" s="591"/>
      <c r="AD110" s="591"/>
      <c r="AE110" s="592"/>
      <c r="AF110" s="339"/>
      <c r="AG110" s="331"/>
      <c r="AH110" s="614" t="s">
        <v>601</v>
      </c>
      <c r="AI110" s="616"/>
      <c r="AJ110" s="616"/>
      <c r="AK110" s="616"/>
      <c r="AL110" s="616"/>
      <c r="AM110" s="616"/>
      <c r="AN110" s="617"/>
      <c r="AO110" s="339"/>
      <c r="AP110" s="331"/>
      <c r="AQ110" s="621" t="s">
        <v>603</v>
      </c>
      <c r="AR110" s="622"/>
      <c r="AS110" s="622"/>
      <c r="AT110" s="622"/>
      <c r="AU110" s="622"/>
      <c r="AV110" s="622"/>
      <c r="AW110" s="622"/>
      <c r="AX110" s="623"/>
      <c r="AY110" s="310"/>
      <c r="AZ110" s="311"/>
      <c r="BD110"/>
      <c r="BE110"/>
      <c r="BF110"/>
      <c r="BG110"/>
      <c r="BH110"/>
      <c r="BI110"/>
      <c r="BJ110"/>
      <c r="BK110"/>
      <c r="BL110"/>
    </row>
    <row r="111" spans="1:96" ht="15" x14ac:dyDescent="0.25">
      <c r="B111" s="122"/>
      <c r="C111" s="122"/>
      <c r="D111" s="122"/>
      <c r="E111" s="122"/>
      <c r="I111" s="78"/>
      <c r="J111" s="123"/>
      <c r="K111" s="122"/>
      <c r="L111" s="122"/>
      <c r="M111" s="122"/>
      <c r="O111" s="262"/>
      <c r="P111" s="593"/>
      <c r="Q111" s="594"/>
      <c r="R111" s="594"/>
      <c r="S111" s="594"/>
      <c r="T111" s="594"/>
      <c r="U111" s="594"/>
      <c r="V111" s="595"/>
      <c r="W111" s="340"/>
      <c r="X111" s="337"/>
      <c r="Y111" s="615"/>
      <c r="Z111" s="594"/>
      <c r="AA111" s="594"/>
      <c r="AB111" s="594"/>
      <c r="AC111" s="594"/>
      <c r="AD111" s="594"/>
      <c r="AE111" s="595"/>
      <c r="AF111" s="340"/>
      <c r="AG111" s="337"/>
      <c r="AH111" s="618"/>
      <c r="AI111" s="619"/>
      <c r="AJ111" s="619"/>
      <c r="AK111" s="619"/>
      <c r="AL111" s="619"/>
      <c r="AM111" s="619"/>
      <c r="AN111" s="620"/>
      <c r="AO111" s="340"/>
      <c r="AP111" s="337"/>
      <c r="AQ111" s="624"/>
      <c r="AR111" s="625"/>
      <c r="AS111" s="625"/>
      <c r="AT111" s="625"/>
      <c r="AU111" s="625"/>
      <c r="AV111" s="625"/>
      <c r="AW111" s="625"/>
      <c r="AX111" s="626"/>
      <c r="AY111" s="336"/>
      <c r="AZ111" s="338"/>
      <c r="BD111"/>
      <c r="BE111"/>
      <c r="BF111"/>
      <c r="BG111"/>
      <c r="BH111"/>
      <c r="BI111"/>
      <c r="BJ111"/>
      <c r="BK111"/>
      <c r="BL111"/>
    </row>
    <row r="112" spans="1:96" ht="14.1" customHeight="1" x14ac:dyDescent="0.25">
      <c r="I112" s="78"/>
      <c r="J112" s="123"/>
      <c r="K112" s="122"/>
      <c r="L112" s="122"/>
      <c r="M112" s="122"/>
      <c r="O112" s="262"/>
      <c r="P112" s="596" t="s">
        <v>605</v>
      </c>
      <c r="Q112" s="597"/>
      <c r="R112" s="597"/>
      <c r="S112" s="597"/>
      <c r="T112" s="597"/>
      <c r="U112" s="597"/>
      <c r="V112" s="598"/>
      <c r="W112" s="326"/>
      <c r="X112" s="315"/>
      <c r="Y112" s="627" t="s">
        <v>600</v>
      </c>
      <c r="Z112" s="628"/>
      <c r="AA112" s="628"/>
      <c r="AB112" s="628"/>
      <c r="AC112" s="628"/>
      <c r="AD112" s="628"/>
      <c r="AE112" s="629"/>
      <c r="AF112" s="326"/>
      <c r="AG112" s="315"/>
      <c r="AH112" s="633" t="s">
        <v>602</v>
      </c>
      <c r="AI112" s="634"/>
      <c r="AJ112" s="634"/>
      <c r="AK112" s="634"/>
      <c r="AL112" s="634"/>
      <c r="AM112" s="634"/>
      <c r="AN112" s="635"/>
      <c r="AO112" s="326"/>
      <c r="AP112" s="315"/>
      <c r="AQ112" s="639" t="s">
        <v>604</v>
      </c>
      <c r="AR112" s="640"/>
      <c r="AS112" s="640"/>
      <c r="AT112" s="640"/>
      <c r="AU112" s="640"/>
      <c r="AV112" s="640"/>
      <c r="AW112" s="640"/>
      <c r="AX112" s="641"/>
      <c r="AY112" s="262"/>
      <c r="AZ112" s="312"/>
      <c r="BD112"/>
      <c r="BE112"/>
      <c r="BF112"/>
      <c r="BG112"/>
      <c r="BH112"/>
      <c r="BI112"/>
      <c r="BJ112"/>
      <c r="BK112"/>
      <c r="BL112"/>
    </row>
    <row r="113" spans="2:64" ht="15" customHeight="1" thickBot="1" x14ac:dyDescent="0.3">
      <c r="I113" s="78"/>
      <c r="J113" s="123"/>
      <c r="O113" s="262"/>
      <c r="P113" s="599"/>
      <c r="Q113" s="600"/>
      <c r="R113" s="600"/>
      <c r="S113" s="600"/>
      <c r="T113" s="600"/>
      <c r="U113" s="600"/>
      <c r="V113" s="601"/>
      <c r="W113" s="325"/>
      <c r="X113" s="316"/>
      <c r="Y113" s="630"/>
      <c r="Z113" s="631"/>
      <c r="AA113" s="631"/>
      <c r="AB113" s="631"/>
      <c r="AC113" s="631"/>
      <c r="AD113" s="631"/>
      <c r="AE113" s="632"/>
      <c r="AF113" s="325"/>
      <c r="AG113" s="316"/>
      <c r="AH113" s="636"/>
      <c r="AI113" s="637"/>
      <c r="AJ113" s="637"/>
      <c r="AK113" s="637"/>
      <c r="AL113" s="637"/>
      <c r="AM113" s="637"/>
      <c r="AN113" s="638"/>
      <c r="AO113" s="325"/>
      <c r="AP113" s="316"/>
      <c r="AQ113" s="642"/>
      <c r="AR113" s="643"/>
      <c r="AS113" s="643"/>
      <c r="AT113" s="643"/>
      <c r="AU113" s="643"/>
      <c r="AV113" s="643"/>
      <c r="AW113" s="643"/>
      <c r="AX113" s="644"/>
      <c r="AY113" s="313"/>
      <c r="AZ113" s="314"/>
      <c r="BD113"/>
      <c r="BE113"/>
      <c r="BF113"/>
      <c r="BG113"/>
      <c r="BH113"/>
      <c r="BI113"/>
      <c r="BJ113"/>
      <c r="BK113"/>
      <c r="BL113"/>
    </row>
    <row r="114" spans="2:64" ht="15.75" thickBot="1" x14ac:dyDescent="0.3">
      <c r="J114" s="122"/>
      <c r="K114" s="122"/>
      <c r="L114" s="122"/>
      <c r="M114" s="12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2"/>
      <c r="AC114" s="262"/>
      <c r="AD114" s="262"/>
      <c r="AE114" s="262"/>
      <c r="AF114" s="262"/>
      <c r="AG114" s="262"/>
      <c r="AH114" s="262"/>
      <c r="AI114" s="262"/>
      <c r="AJ114" s="262"/>
      <c r="AK114" s="262"/>
      <c r="AL114" s="262"/>
      <c r="AM114" s="262"/>
      <c r="AN114" s="262"/>
      <c r="AO114" s="262"/>
      <c r="AP114" s="262"/>
      <c r="AQ114" s="262"/>
      <c r="AR114" s="262"/>
      <c r="AS114" s="262"/>
      <c r="AT114" s="262"/>
      <c r="AU114" s="262"/>
      <c r="AV114" s="262"/>
      <c r="AW114" s="262"/>
      <c r="AX114" s="262"/>
      <c r="AY114" s="262"/>
      <c r="AZ114" s="78"/>
      <c r="BD114"/>
      <c r="BE114"/>
      <c r="BF114"/>
      <c r="BG114"/>
      <c r="BH114"/>
      <c r="BI114"/>
      <c r="BJ114"/>
      <c r="BK114"/>
      <c r="BL114"/>
    </row>
    <row r="115" spans="2:64" ht="14.1" customHeight="1" thickBot="1" x14ac:dyDescent="0.3">
      <c r="B115" s="69"/>
      <c r="C115" s="69"/>
      <c r="D115" s="69"/>
      <c r="E115" s="78"/>
      <c r="F115" s="78"/>
      <c r="G115" s="78"/>
      <c r="H115" s="78"/>
      <c r="I115" s="78"/>
      <c r="J115" s="78"/>
      <c r="O115" s="78"/>
      <c r="P115" s="602" t="s">
        <v>613</v>
      </c>
      <c r="Q115" s="603"/>
      <c r="R115" s="603"/>
      <c r="S115" s="603"/>
      <c r="T115" s="603"/>
      <c r="U115" s="603"/>
      <c r="V115" s="603"/>
      <c r="W115" s="603"/>
      <c r="X115" s="603"/>
      <c r="Y115" s="603"/>
      <c r="Z115" s="603"/>
      <c r="AA115" s="603"/>
      <c r="AB115" s="603"/>
      <c r="AC115" s="603"/>
      <c r="AD115" s="603"/>
      <c r="AE115" s="603"/>
      <c r="AF115" s="603"/>
      <c r="AG115" s="603"/>
      <c r="AH115" s="603"/>
      <c r="AI115" s="603"/>
      <c r="AJ115" s="603"/>
      <c r="AK115" s="603"/>
      <c r="AL115" s="603"/>
      <c r="AM115" s="603"/>
      <c r="AN115" s="603"/>
      <c r="AO115" s="603"/>
      <c r="AP115" s="603"/>
      <c r="AQ115" s="603"/>
      <c r="AR115" s="603"/>
      <c r="AS115" s="603"/>
      <c r="AT115" s="603"/>
      <c r="AU115" s="603"/>
      <c r="AV115" s="603"/>
      <c r="AW115" s="603"/>
      <c r="AX115" s="603"/>
      <c r="AY115" s="603"/>
      <c r="AZ115" s="604"/>
      <c r="BD115"/>
      <c r="BE115"/>
      <c r="BF115"/>
      <c r="BG115"/>
      <c r="BH115"/>
      <c r="BI115"/>
      <c r="BJ115"/>
      <c r="BK115"/>
      <c r="BL115"/>
    </row>
    <row r="116" spans="2:64" ht="14.1" customHeight="1" x14ac:dyDescent="0.2">
      <c r="E116" s="98"/>
      <c r="F116" s="98"/>
      <c r="G116" s="98"/>
      <c r="H116" s="98"/>
      <c r="I116" s="98"/>
      <c r="J116" s="98"/>
      <c r="K116" s="98"/>
      <c r="L116" s="98"/>
      <c r="M116" s="98"/>
      <c r="O116" s="78"/>
      <c r="P116" s="524"/>
      <c r="Q116" s="525"/>
      <c r="R116" s="525"/>
      <c r="S116" s="525"/>
      <c r="T116" s="525"/>
      <c r="U116" s="525"/>
      <c r="V116" s="525"/>
      <c r="W116" s="525"/>
      <c r="X116" s="525"/>
      <c r="Y116" s="526"/>
      <c r="Z116" s="341"/>
      <c r="AA116" s="341"/>
      <c r="AB116" s="341"/>
      <c r="AC116" s="341"/>
      <c r="AD116" s="341"/>
      <c r="AE116" s="341"/>
      <c r="AF116" s="341"/>
      <c r="AG116" s="341"/>
      <c r="AH116" s="341"/>
      <c r="AI116" s="341"/>
      <c r="AJ116" s="341"/>
      <c r="AK116" s="341"/>
      <c r="AL116" s="341"/>
      <c r="AM116" s="341"/>
      <c r="AN116" s="341"/>
      <c r="AO116" s="341"/>
      <c r="AP116" s="341"/>
      <c r="AQ116" s="341"/>
      <c r="AR116" s="341"/>
      <c r="AS116" s="341"/>
      <c r="AT116" s="341"/>
      <c r="AU116" s="341"/>
      <c r="AV116" s="341"/>
      <c r="AW116" s="341"/>
      <c r="AX116" s="341"/>
      <c r="AY116" s="341"/>
      <c r="AZ116" s="342"/>
    </row>
    <row r="117" spans="2:64" ht="12.95" customHeight="1" x14ac:dyDescent="0.2">
      <c r="B117" s="245"/>
      <c r="C117" s="245"/>
      <c r="D117" s="245"/>
      <c r="E117" s="216"/>
      <c r="F117" s="216"/>
      <c r="G117" s="216"/>
      <c r="H117" s="216"/>
      <c r="I117" s="216"/>
      <c r="J117" s="216"/>
      <c r="K117" s="98"/>
      <c r="L117" s="98"/>
      <c r="M117" s="98"/>
      <c r="O117" s="78"/>
      <c r="P117" s="527"/>
      <c r="Q117" s="528"/>
      <c r="R117" s="528"/>
      <c r="S117" s="528"/>
      <c r="T117" s="528"/>
      <c r="U117" s="528"/>
      <c r="V117" s="528"/>
      <c r="W117" s="528"/>
      <c r="X117" s="528"/>
      <c r="Y117" s="529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  <c r="AM117" s="246"/>
      <c r="AN117" s="246"/>
      <c r="AO117" s="246"/>
      <c r="AP117" s="246"/>
      <c r="AQ117" s="246"/>
      <c r="AR117" s="246"/>
      <c r="AS117" s="246"/>
      <c r="AT117" s="246"/>
      <c r="AU117" s="246"/>
      <c r="AV117" s="246"/>
      <c r="AW117" s="246"/>
      <c r="AX117" s="246"/>
      <c r="AY117" s="246"/>
      <c r="AZ117" s="343"/>
    </row>
    <row r="118" spans="2:64" ht="14.1" customHeight="1" x14ac:dyDescent="0.2">
      <c r="B118" s="98"/>
      <c r="C118" s="97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O118" s="78"/>
      <c r="P118" s="584"/>
      <c r="Q118" s="585"/>
      <c r="R118" s="585"/>
      <c r="S118" s="585"/>
      <c r="T118" s="585"/>
      <c r="U118" s="585"/>
      <c r="V118" s="585"/>
      <c r="W118" s="585"/>
      <c r="X118" s="585"/>
      <c r="Y118" s="586"/>
      <c r="Z118" s="346"/>
      <c r="AA118" s="346"/>
      <c r="AB118" s="346"/>
      <c r="AC118" s="346"/>
      <c r="AD118" s="346"/>
      <c r="AE118" s="346"/>
      <c r="AF118" s="346"/>
      <c r="AG118" s="346"/>
      <c r="AH118" s="346"/>
      <c r="AI118" s="346"/>
      <c r="AJ118" s="346"/>
      <c r="AK118" s="346"/>
      <c r="AL118" s="346"/>
      <c r="AM118" s="346"/>
      <c r="AN118" s="346"/>
      <c r="AO118" s="346"/>
      <c r="AP118" s="346"/>
      <c r="AQ118" s="346"/>
      <c r="AR118" s="346"/>
      <c r="AS118" s="346"/>
      <c r="AT118" s="346"/>
      <c r="AU118" s="346"/>
      <c r="AV118" s="346"/>
      <c r="AW118" s="346"/>
      <c r="AX118" s="346"/>
      <c r="AY118" s="346"/>
      <c r="AZ118" s="347"/>
    </row>
    <row r="119" spans="2:64" ht="12.95" customHeight="1" x14ac:dyDescent="0.2"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O119" s="78"/>
      <c r="P119" s="527"/>
      <c r="Q119" s="528"/>
      <c r="R119" s="528"/>
      <c r="S119" s="528"/>
      <c r="T119" s="528"/>
      <c r="U119" s="528"/>
      <c r="V119" s="528"/>
      <c r="W119" s="528"/>
      <c r="X119" s="528"/>
      <c r="Y119" s="529"/>
      <c r="Z119" s="348"/>
      <c r="AA119" s="348"/>
      <c r="AB119" s="348"/>
      <c r="AC119" s="348"/>
      <c r="AD119" s="348"/>
      <c r="AE119" s="348"/>
      <c r="AF119" s="348"/>
      <c r="AG119" s="348"/>
      <c r="AH119" s="348"/>
      <c r="AI119" s="348"/>
      <c r="AJ119" s="348"/>
      <c r="AK119" s="348"/>
      <c r="AL119" s="348"/>
      <c r="AM119" s="348"/>
      <c r="AN119" s="348"/>
      <c r="AO119" s="348"/>
      <c r="AP119" s="348"/>
      <c r="AQ119" s="348"/>
      <c r="AR119" s="348"/>
      <c r="AS119" s="348"/>
      <c r="AT119" s="348"/>
      <c r="AU119" s="348"/>
      <c r="AV119" s="348"/>
      <c r="AW119" s="348"/>
      <c r="AX119" s="348"/>
      <c r="AY119" s="348"/>
      <c r="AZ119" s="349"/>
    </row>
    <row r="120" spans="2:64" ht="14.1" customHeight="1" x14ac:dyDescent="0.2">
      <c r="B120" s="216"/>
      <c r="C120" s="215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O120" s="78"/>
      <c r="P120" s="584"/>
      <c r="Q120" s="585"/>
      <c r="R120" s="585"/>
      <c r="S120" s="585"/>
      <c r="T120" s="585"/>
      <c r="U120" s="585"/>
      <c r="V120" s="585"/>
      <c r="W120" s="585"/>
      <c r="X120" s="585"/>
      <c r="Y120" s="58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  <c r="AM120" s="246"/>
      <c r="AN120" s="246"/>
      <c r="AO120" s="246"/>
      <c r="AP120" s="246"/>
      <c r="AQ120" s="246"/>
      <c r="AR120" s="246"/>
      <c r="AS120" s="246"/>
      <c r="AT120" s="246"/>
      <c r="AU120" s="246"/>
      <c r="AV120" s="246"/>
      <c r="AW120" s="246"/>
      <c r="AX120" s="246"/>
      <c r="AY120" s="246"/>
      <c r="AZ120" s="343"/>
    </row>
    <row r="121" spans="2:64" ht="14.1" customHeight="1" thickBot="1" x14ac:dyDescent="0.25">
      <c r="B121" s="216"/>
      <c r="C121" s="215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O121" s="78"/>
      <c r="P121" s="587"/>
      <c r="Q121" s="588"/>
      <c r="R121" s="588"/>
      <c r="S121" s="588"/>
      <c r="T121" s="588"/>
      <c r="U121" s="588"/>
      <c r="V121" s="588"/>
      <c r="W121" s="588"/>
      <c r="X121" s="588"/>
      <c r="Y121" s="589"/>
      <c r="Z121" s="344"/>
      <c r="AA121" s="344"/>
      <c r="AB121" s="344"/>
      <c r="AC121" s="344"/>
      <c r="AD121" s="344"/>
      <c r="AE121" s="344"/>
      <c r="AF121" s="344"/>
      <c r="AG121" s="344"/>
      <c r="AH121" s="344"/>
      <c r="AI121" s="344"/>
      <c r="AJ121" s="344"/>
      <c r="AK121" s="344"/>
      <c r="AL121" s="344"/>
      <c r="AM121" s="344"/>
      <c r="AN121" s="344"/>
      <c r="AO121" s="344"/>
      <c r="AP121" s="344"/>
      <c r="AQ121" s="344"/>
      <c r="AR121" s="344"/>
      <c r="AS121" s="344"/>
      <c r="AT121" s="344"/>
      <c r="AU121" s="344"/>
      <c r="AV121" s="344"/>
      <c r="AW121" s="344"/>
      <c r="AX121" s="344"/>
      <c r="AY121" s="344"/>
      <c r="AZ121" s="345"/>
    </row>
    <row r="122" spans="2:64" x14ac:dyDescent="0.2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O122" s="78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62"/>
      <c r="AP122" s="262"/>
      <c r="AQ122" s="262"/>
      <c r="AR122" s="262"/>
      <c r="AS122" s="262"/>
      <c r="AT122" s="262"/>
      <c r="AU122" s="262"/>
      <c r="AV122" s="262"/>
      <c r="AW122" s="262"/>
      <c r="AX122" s="262"/>
      <c r="AY122" s="262"/>
      <c r="AZ122" s="78"/>
    </row>
    <row r="123" spans="2:64" ht="13.5" thickBot="1" x14ac:dyDescent="0.25">
      <c r="B123" s="216"/>
      <c r="C123" s="215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O123" s="78"/>
      <c r="P123" s="246" t="s">
        <v>618</v>
      </c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313"/>
      <c r="AF123" s="313"/>
      <c r="AG123" s="313"/>
      <c r="AH123" s="313"/>
      <c r="AI123" s="313"/>
      <c r="AJ123" s="313"/>
      <c r="AK123" s="313"/>
      <c r="AL123" s="313"/>
      <c r="AM123" s="313"/>
      <c r="AN123" s="313"/>
      <c r="AO123" s="313"/>
      <c r="AP123" s="313"/>
      <c r="AQ123" s="313"/>
      <c r="AR123" s="313"/>
      <c r="AS123" s="313"/>
      <c r="AT123" s="313"/>
      <c r="AU123" s="313"/>
      <c r="AV123" s="313"/>
      <c r="AW123" s="313"/>
      <c r="AX123" s="313"/>
      <c r="AY123" s="313"/>
      <c r="AZ123" s="354"/>
    </row>
    <row r="124" spans="2:64" x14ac:dyDescent="0.2">
      <c r="B124" s="216"/>
      <c r="C124" s="215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262"/>
      <c r="AF124" s="262"/>
      <c r="AG124" s="262"/>
      <c r="AH124" s="262"/>
      <c r="AI124" s="262"/>
      <c r="AJ124" s="262"/>
      <c r="AK124" s="262"/>
      <c r="AL124" s="262"/>
      <c r="AM124" s="262"/>
      <c r="AN124" s="262"/>
      <c r="AO124" s="262"/>
      <c r="AP124" s="262"/>
      <c r="AQ124" s="262"/>
      <c r="AR124" s="262"/>
      <c r="AS124" s="262"/>
      <c r="AT124" s="262"/>
      <c r="AU124" s="262"/>
      <c r="AV124" s="262"/>
      <c r="AW124" s="262"/>
      <c r="AX124" s="262"/>
      <c r="AY124" s="78"/>
      <c r="AZ124" s="78"/>
    </row>
    <row r="125" spans="2:64" ht="13.5" thickBot="1" x14ac:dyDescent="0.25">
      <c r="O125" s="262"/>
      <c r="P125" s="246" t="s">
        <v>616</v>
      </c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62"/>
      <c r="AE125" s="262"/>
      <c r="AF125" s="262"/>
      <c r="AG125" s="262"/>
      <c r="AH125" s="262"/>
      <c r="AI125" s="262"/>
      <c r="AJ125" s="313"/>
      <c r="AK125" s="313"/>
      <c r="AL125" s="313"/>
      <c r="AM125" s="313"/>
      <c r="AN125" s="313"/>
      <c r="AO125" s="313"/>
      <c r="AP125" s="313"/>
      <c r="AQ125" s="313"/>
      <c r="AR125" s="313"/>
      <c r="AS125" s="313"/>
      <c r="AT125" s="313"/>
      <c r="AU125" s="313"/>
      <c r="AV125" s="313"/>
      <c r="AW125" s="313"/>
      <c r="AX125" s="313"/>
      <c r="AY125" s="354"/>
      <c r="AZ125" s="354"/>
    </row>
    <row r="126" spans="2:64" x14ac:dyDescent="0.2">
      <c r="B126" s="69"/>
      <c r="D126" s="78"/>
      <c r="E126" s="78"/>
      <c r="F126" s="78"/>
      <c r="G126" s="78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2"/>
      <c r="AP126" s="262"/>
      <c r="AQ126" s="262"/>
      <c r="AR126" s="262"/>
      <c r="AS126" s="262"/>
      <c r="AT126" s="262"/>
      <c r="AU126" s="262"/>
      <c r="AV126" s="262"/>
      <c r="AW126" s="262"/>
      <c r="AX126" s="262"/>
      <c r="AY126" s="78"/>
      <c r="AZ126" s="78"/>
    </row>
    <row r="127" spans="2:64" x14ac:dyDescent="0.2"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262"/>
      <c r="AL127" s="262"/>
      <c r="AM127" s="262"/>
      <c r="AN127" s="262"/>
      <c r="AO127" s="262"/>
      <c r="AP127" s="262"/>
      <c r="AQ127" s="262"/>
      <c r="AR127" s="262"/>
      <c r="AS127" s="262"/>
      <c r="AT127" s="262"/>
      <c r="AU127" s="262"/>
      <c r="AV127" s="262"/>
      <c r="AW127" s="262"/>
      <c r="AX127" s="262"/>
    </row>
    <row r="128" spans="2:64" x14ac:dyDescent="0.2"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2"/>
      <c r="AP128" s="262"/>
      <c r="AQ128" s="262"/>
      <c r="AR128" s="262"/>
      <c r="AS128" s="262"/>
      <c r="AT128" s="262"/>
      <c r="AU128" s="262"/>
      <c r="AV128" s="262"/>
      <c r="AW128" s="262"/>
      <c r="AX128" s="262"/>
    </row>
  </sheetData>
  <mergeCells count="169">
    <mergeCell ref="C1:D1"/>
    <mergeCell ref="S1:Y1"/>
    <mergeCell ref="S2:AM2"/>
    <mergeCell ref="AN2:AT2"/>
    <mergeCell ref="S3:AB3"/>
    <mergeCell ref="AE3:AG3"/>
    <mergeCell ref="S4:AB4"/>
    <mergeCell ref="AC4:AL4"/>
    <mergeCell ref="AM4:AT4"/>
    <mergeCell ref="B5:B6"/>
    <mergeCell ref="C5:D5"/>
    <mergeCell ref="E5:F5"/>
    <mergeCell ref="G5:H5"/>
    <mergeCell ref="J5:K5"/>
    <mergeCell ref="L5:M5"/>
    <mergeCell ref="T6:W6"/>
    <mergeCell ref="AO10:AQ10"/>
    <mergeCell ref="AS10:AV10"/>
    <mergeCell ref="AW10:AZ10"/>
    <mergeCell ref="O12:P12"/>
    <mergeCell ref="V12:Y12"/>
    <mergeCell ref="O32:R32"/>
    <mergeCell ref="P8:Q8"/>
    <mergeCell ref="S8:U8"/>
    <mergeCell ref="W8:Y8"/>
    <mergeCell ref="AB8:AX8"/>
    <mergeCell ref="AW9:AZ9"/>
    <mergeCell ref="O10:Q10"/>
    <mergeCell ref="S10:U10"/>
    <mergeCell ref="V10:Z10"/>
    <mergeCell ref="AC10:AG10"/>
    <mergeCell ref="AK10:AM10"/>
    <mergeCell ref="B40:F40"/>
    <mergeCell ref="O40:Q40"/>
    <mergeCell ref="R40:U40"/>
    <mergeCell ref="V40:Y40"/>
    <mergeCell ref="Z40:AC40"/>
    <mergeCell ref="AH40:AJ40"/>
    <mergeCell ref="B36:F36"/>
    <mergeCell ref="O38:AC38"/>
    <mergeCell ref="AD38:AZ38"/>
    <mergeCell ref="O39:U39"/>
    <mergeCell ref="V39:AC39"/>
    <mergeCell ref="AH39:AM39"/>
    <mergeCell ref="AO39:AX39"/>
    <mergeCell ref="AK40:AM40"/>
    <mergeCell ref="AT40:AX40"/>
    <mergeCell ref="B54:D54"/>
    <mergeCell ref="B56:D56"/>
    <mergeCell ref="B42:E43"/>
    <mergeCell ref="AH43:AJ44"/>
    <mergeCell ref="AK43:AM44"/>
    <mergeCell ref="AO43:AS44"/>
    <mergeCell ref="AT43:AX44"/>
    <mergeCell ref="B45:E46"/>
    <mergeCell ref="AH45:AJ46"/>
    <mergeCell ref="AK45:AM46"/>
    <mergeCell ref="AO45:AS46"/>
    <mergeCell ref="AT45:AX46"/>
    <mergeCell ref="O41:Q42"/>
    <mergeCell ref="R41:U42"/>
    <mergeCell ref="V41:Y42"/>
    <mergeCell ref="Z41:AC42"/>
    <mergeCell ref="AH41:AJ42"/>
    <mergeCell ref="AK41:AM42"/>
    <mergeCell ref="AO41:AS42"/>
    <mergeCell ref="AT41:AX42"/>
    <mergeCell ref="AH47:AJ48"/>
    <mergeCell ref="AK47:AM48"/>
    <mergeCell ref="AO47:AS48"/>
    <mergeCell ref="AT47:AX48"/>
    <mergeCell ref="C63:D63"/>
    <mergeCell ref="H63:I63"/>
    <mergeCell ref="O65:AZ65"/>
    <mergeCell ref="S71:U73"/>
    <mergeCell ref="V71:X73"/>
    <mergeCell ref="Y71:AB73"/>
    <mergeCell ref="AL71:AN71"/>
    <mergeCell ref="AO71:AU71"/>
    <mergeCell ref="AL72:AN72"/>
    <mergeCell ref="AO72:AU72"/>
    <mergeCell ref="S76:U76"/>
    <mergeCell ref="V76:X76"/>
    <mergeCell ref="Y76:AB76"/>
    <mergeCell ref="S77:U77"/>
    <mergeCell ref="V77:X77"/>
    <mergeCell ref="Y77:AB77"/>
    <mergeCell ref="AL73:AN74"/>
    <mergeCell ref="AO73:AU74"/>
    <mergeCell ref="S74:U74"/>
    <mergeCell ref="V74:X74"/>
    <mergeCell ref="Y74:AB74"/>
    <mergeCell ref="S75:U75"/>
    <mergeCell ref="V75:X75"/>
    <mergeCell ref="Y75:AB75"/>
    <mergeCell ref="S81:U83"/>
    <mergeCell ref="V81:X83"/>
    <mergeCell ref="Y81:AB83"/>
    <mergeCell ref="S84:U84"/>
    <mergeCell ref="V84:X84"/>
    <mergeCell ref="Y84:AB84"/>
    <mergeCell ref="AL78:AN78"/>
    <mergeCell ref="AO78:AU78"/>
    <mergeCell ref="AL79:AN79"/>
    <mergeCell ref="AO79:AU79"/>
    <mergeCell ref="AL80:AN81"/>
    <mergeCell ref="AO80:AU81"/>
    <mergeCell ref="S85:U85"/>
    <mergeCell ref="V85:X85"/>
    <mergeCell ref="Y85:AB85"/>
    <mergeCell ref="AL85:AN85"/>
    <mergeCell ref="AO85:AU85"/>
    <mergeCell ref="S86:U86"/>
    <mergeCell ref="V86:X86"/>
    <mergeCell ref="Y86:AB86"/>
    <mergeCell ref="AL86:AN86"/>
    <mergeCell ref="AO86:AU86"/>
    <mergeCell ref="S87:U87"/>
    <mergeCell ref="V87:X87"/>
    <mergeCell ref="Y87:AB87"/>
    <mergeCell ref="AL87:AN88"/>
    <mergeCell ref="AO87:AU88"/>
    <mergeCell ref="S91:U93"/>
    <mergeCell ref="V91:X93"/>
    <mergeCell ref="Y91:AB93"/>
    <mergeCell ref="AL92:AN93"/>
    <mergeCell ref="AO92:AU93"/>
    <mergeCell ref="S96:U96"/>
    <mergeCell ref="V96:X96"/>
    <mergeCell ref="Y96:AB96"/>
    <mergeCell ref="AL96:AN97"/>
    <mergeCell ref="AO96:AU97"/>
    <mergeCell ref="S97:U97"/>
    <mergeCell ref="V97:X97"/>
    <mergeCell ref="Y97:AB97"/>
    <mergeCell ref="S94:U94"/>
    <mergeCell ref="V94:X94"/>
    <mergeCell ref="Y94:AB94"/>
    <mergeCell ref="AL94:AN95"/>
    <mergeCell ref="AO94:AU95"/>
    <mergeCell ref="S95:U95"/>
    <mergeCell ref="V95:X95"/>
    <mergeCell ref="Y95:AB95"/>
    <mergeCell ref="P104:W104"/>
    <mergeCell ref="Y104:AZ104"/>
    <mergeCell ref="P105:W105"/>
    <mergeCell ref="AG105:AP105"/>
    <mergeCell ref="AQ105:AZ105"/>
    <mergeCell ref="P106:W106"/>
    <mergeCell ref="R100:Z100"/>
    <mergeCell ref="AA100:AU100"/>
    <mergeCell ref="R101:T102"/>
    <mergeCell ref="U101:W102"/>
    <mergeCell ref="X101:Z102"/>
    <mergeCell ref="AA101:AU102"/>
    <mergeCell ref="P118:Y119"/>
    <mergeCell ref="P120:Y121"/>
    <mergeCell ref="P112:V113"/>
    <mergeCell ref="Y112:AE113"/>
    <mergeCell ref="AH112:AN113"/>
    <mergeCell ref="AQ112:AX113"/>
    <mergeCell ref="P115:AZ115"/>
    <mergeCell ref="P116:Y117"/>
    <mergeCell ref="P107:W107"/>
    <mergeCell ref="P109:AZ109"/>
    <mergeCell ref="P110:V111"/>
    <mergeCell ref="Y110:AE111"/>
    <mergeCell ref="AH110:AN111"/>
    <mergeCell ref="AQ110:AX111"/>
  </mergeCells>
  <pageMargins left="0.25" right="0.25" top="0.75" bottom="0.75" header="0.3" footer="0.3"/>
  <pageSetup scale="61" fitToHeight="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3197B432-EAAA-4922-AD0B-91111DA538E9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B13:D15</xm:sqref>
        </x14:conditionalFormatting>
        <x14:conditionalFormatting xmlns:xm="http://schemas.microsoft.com/office/excel/2006/main">
          <x14:cfRule type="expression" priority="3" id="{63E68441-65EE-4625-9F83-F65B71063CE5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B16:D18</xm:sqref>
        </x14:conditionalFormatting>
        <x14:conditionalFormatting xmlns:xm="http://schemas.microsoft.com/office/excel/2006/main">
          <x14:cfRule type="expression" priority="6" id="{D1FD181A-265B-45AA-ABFD-F1A147C9CA47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E15:H15</xm:sqref>
        </x14:conditionalFormatting>
        <x14:conditionalFormatting xmlns:xm="http://schemas.microsoft.com/office/excel/2006/main">
          <x14:cfRule type="expression" priority="5" id="{73B6F585-E0E2-4F5C-83A5-F40937FAF327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E18:H18</xm:sqref>
        </x14:conditionalFormatting>
        <x14:conditionalFormatting xmlns:xm="http://schemas.microsoft.com/office/excel/2006/main">
          <x14:cfRule type="expression" priority="2" id="{B9922536-51D3-4F80-BA68-8270EF7C4A54}">
            <xm:f>'Start Here'!$B$11="NO"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J15:M15</xm:sqref>
        </x14:conditionalFormatting>
        <x14:conditionalFormatting xmlns:xm="http://schemas.microsoft.com/office/excel/2006/main">
          <x14:cfRule type="expression" priority="1" id="{2ED29C60-741C-4430-B2C1-323E6C685B38}">
            <xm:f>'Start Here'!$B$12="NO"</xm:f>
            <x14:dxf>
              <font>
                <strike/>
              </font>
              <fill>
                <patternFill>
                  <bgColor theme="1" tint="0.499984740745262"/>
                </patternFill>
              </fill>
            </x14:dxf>
          </x14:cfRule>
          <xm:sqref>J18:M18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theme="8" tint="0.79998168889431442"/>
  </sheetPr>
  <dimension ref="A1:L327"/>
  <sheetViews>
    <sheetView topLeftCell="A110" zoomScale="60" zoomScaleNormal="60" workbookViewId="0">
      <selection activeCell="P190" sqref="P190"/>
    </sheetView>
  </sheetViews>
  <sheetFormatPr defaultColWidth="8.85546875" defaultRowHeight="15" x14ac:dyDescent="0.25"/>
  <cols>
    <col min="1" max="1" width="51.140625" customWidth="1"/>
    <col min="2" max="2" width="21" customWidth="1"/>
    <col min="3" max="3" width="16.85546875" customWidth="1"/>
    <col min="4" max="4" width="22" customWidth="1"/>
    <col min="5" max="5" width="18.42578125" customWidth="1"/>
    <col min="6" max="6" width="14.140625" customWidth="1"/>
    <col min="7" max="7" width="21.42578125" customWidth="1"/>
    <col min="8" max="8" width="15.140625" customWidth="1"/>
    <col min="9" max="9" width="21.85546875" customWidth="1"/>
    <col min="10" max="10" width="19.85546875" customWidth="1"/>
    <col min="11" max="11" width="16.85546875" customWidth="1"/>
  </cols>
  <sheetData>
    <row r="1" spans="1:12" x14ac:dyDescent="0.25">
      <c r="A1" t="s">
        <v>83</v>
      </c>
      <c r="J1" s="157" t="s">
        <v>289</v>
      </c>
      <c r="K1" s="157"/>
      <c r="L1" s="157" t="s">
        <v>288</v>
      </c>
    </row>
    <row r="2" spans="1:12" ht="30" x14ac:dyDescent="0.25">
      <c r="A2" s="1" t="s">
        <v>82</v>
      </c>
      <c r="B2" s="1" t="s">
        <v>23</v>
      </c>
      <c r="C2" s="1" t="s">
        <v>86</v>
      </c>
      <c r="D2" s="1" t="s">
        <v>87</v>
      </c>
      <c r="E2" s="1" t="s">
        <v>88</v>
      </c>
      <c r="F2" s="1" t="s">
        <v>278</v>
      </c>
      <c r="G2" s="1"/>
    </row>
    <row r="3" spans="1:12" x14ac:dyDescent="0.25">
      <c r="A3" t="s">
        <v>85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</row>
    <row r="4" spans="1:12" x14ac:dyDescent="0.25">
      <c r="A4" t="s">
        <v>84</v>
      </c>
      <c r="B4" s="23">
        <v>0</v>
      </c>
      <c r="C4" s="23">
        <f>'NATOPS Tables'!$F$6</f>
        <v>3650</v>
      </c>
      <c r="D4" s="23">
        <f>'NATOPS Tables'!$G$6+'NATOPS Tables'!$G$7</f>
        <v>16000</v>
      </c>
      <c r="E4" s="23">
        <v>0</v>
      </c>
      <c r="F4" s="23">
        <v>0</v>
      </c>
    </row>
    <row r="5" spans="1:12" x14ac:dyDescent="0.25">
      <c r="A5" t="s">
        <v>89</v>
      </c>
      <c r="B5" s="2">
        <f>'NATOPS Tables'!$E$4+'NATOPS Tables'!$E$5</f>
        <v>-16</v>
      </c>
      <c r="C5">
        <f>'NATOPS Tables'!$F$4</f>
        <v>2650</v>
      </c>
      <c r="D5">
        <f>'NATOPS Tables'!$G$4+'NATOPS Tables'!$G$5</f>
        <v>-42400</v>
      </c>
      <c r="E5">
        <v>0</v>
      </c>
      <c r="F5">
        <v>0</v>
      </c>
    </row>
    <row r="8" spans="1:12" x14ac:dyDescent="0.25">
      <c r="A8" t="s">
        <v>94</v>
      </c>
    </row>
    <row r="9" spans="1:12" x14ac:dyDescent="0.25">
      <c r="A9" s="730" t="s">
        <v>95</v>
      </c>
      <c r="B9" s="730"/>
      <c r="C9" s="730" t="s">
        <v>98</v>
      </c>
      <c r="D9" s="730"/>
    </row>
    <row r="10" spans="1:12" x14ac:dyDescent="0.25">
      <c r="A10" t="s">
        <v>96</v>
      </c>
      <c r="B10" t="s">
        <v>97</v>
      </c>
      <c r="C10" t="s">
        <v>99</v>
      </c>
      <c r="D10" t="s">
        <v>100</v>
      </c>
    </row>
    <row r="11" spans="1:12" x14ac:dyDescent="0.25">
      <c r="A11">
        <v>6283</v>
      </c>
      <c r="B11">
        <v>140.9</v>
      </c>
      <c r="C11">
        <v>2850</v>
      </c>
      <c r="D11">
        <v>3580</v>
      </c>
    </row>
    <row r="12" spans="1:12" x14ac:dyDescent="0.25">
      <c r="A12">
        <v>3803</v>
      </c>
      <c r="B12">
        <v>140.9</v>
      </c>
      <c r="C12">
        <v>1725</v>
      </c>
      <c r="D12">
        <v>3580</v>
      </c>
    </row>
    <row r="13" spans="1:12" x14ac:dyDescent="0.25">
      <c r="A13">
        <v>3803</v>
      </c>
      <c r="B13">
        <v>138.9</v>
      </c>
      <c r="C13">
        <v>1725</v>
      </c>
      <c r="D13">
        <v>3528</v>
      </c>
    </row>
    <row r="14" spans="1:12" x14ac:dyDescent="0.25">
      <c r="A14">
        <v>3995</v>
      </c>
      <c r="B14">
        <v>136.1</v>
      </c>
      <c r="C14">
        <v>1812</v>
      </c>
      <c r="D14">
        <v>3457</v>
      </c>
    </row>
    <row r="15" spans="1:12" x14ac:dyDescent="0.25">
      <c r="A15">
        <v>4762</v>
      </c>
      <c r="B15">
        <v>129.30000000000001</v>
      </c>
      <c r="C15">
        <v>2160</v>
      </c>
      <c r="D15">
        <v>3284</v>
      </c>
    </row>
    <row r="16" spans="1:12" x14ac:dyDescent="0.25">
      <c r="A16">
        <v>5580</v>
      </c>
      <c r="B16">
        <v>129.30000000000001</v>
      </c>
      <c r="C16">
        <v>2531</v>
      </c>
      <c r="D16">
        <v>3284</v>
      </c>
    </row>
    <row r="17" spans="1:4" x14ac:dyDescent="0.25">
      <c r="A17">
        <v>6283</v>
      </c>
      <c r="B17">
        <v>133.5</v>
      </c>
      <c r="C17">
        <v>2850</v>
      </c>
      <c r="D17">
        <v>3392</v>
      </c>
    </row>
    <row r="18" spans="1:4" x14ac:dyDescent="0.25">
      <c r="A18">
        <v>6283</v>
      </c>
      <c r="B18">
        <v>140.9</v>
      </c>
      <c r="C18">
        <v>2850</v>
      </c>
      <c r="D18">
        <v>3580</v>
      </c>
    </row>
    <row r="20" spans="1:4" x14ac:dyDescent="0.25">
      <c r="A20" t="s">
        <v>101</v>
      </c>
    </row>
    <row r="21" spans="1:4" x14ac:dyDescent="0.25">
      <c r="A21" s="730" t="s">
        <v>95</v>
      </c>
      <c r="B21" s="730"/>
      <c r="C21" s="730" t="s">
        <v>98</v>
      </c>
      <c r="D21" s="730"/>
    </row>
    <row r="22" spans="1:4" x14ac:dyDescent="0.25">
      <c r="A22" t="s">
        <v>96</v>
      </c>
      <c r="B22" t="s">
        <v>102</v>
      </c>
      <c r="C22" t="s">
        <v>99</v>
      </c>
      <c r="D22" t="s">
        <v>103</v>
      </c>
    </row>
    <row r="23" spans="1:4" x14ac:dyDescent="0.25">
      <c r="A23">
        <v>6283</v>
      </c>
      <c r="B23">
        <v>2.1</v>
      </c>
      <c r="C23">
        <v>2850</v>
      </c>
      <c r="D23">
        <v>53</v>
      </c>
    </row>
    <row r="24" spans="1:4" x14ac:dyDescent="0.25">
      <c r="A24">
        <v>5401</v>
      </c>
      <c r="B24">
        <v>2.4</v>
      </c>
      <c r="C24">
        <v>2450</v>
      </c>
      <c r="D24">
        <v>60</v>
      </c>
    </row>
    <row r="25" spans="1:4" x14ac:dyDescent="0.25">
      <c r="A25">
        <v>3803</v>
      </c>
      <c r="B25">
        <v>2.4</v>
      </c>
      <c r="C25">
        <v>1725</v>
      </c>
      <c r="D25">
        <v>60</v>
      </c>
    </row>
    <row r="26" spans="1:4" x14ac:dyDescent="0.25">
      <c r="A26">
        <v>3803</v>
      </c>
      <c r="B26">
        <v>-2.4</v>
      </c>
      <c r="C26">
        <v>1725</v>
      </c>
      <c r="D26">
        <v>-60</v>
      </c>
    </row>
    <row r="27" spans="1:4" x14ac:dyDescent="0.25">
      <c r="A27">
        <v>5401</v>
      </c>
      <c r="B27">
        <v>-2.4</v>
      </c>
      <c r="C27">
        <v>2450</v>
      </c>
      <c r="D27">
        <v>-60</v>
      </c>
    </row>
    <row r="28" spans="1:4" x14ac:dyDescent="0.25">
      <c r="A28">
        <v>6283</v>
      </c>
      <c r="B28">
        <v>-2.1</v>
      </c>
      <c r="C28">
        <v>2850</v>
      </c>
      <c r="D28">
        <v>-53</v>
      </c>
    </row>
    <row r="29" spans="1:4" x14ac:dyDescent="0.25">
      <c r="A29">
        <v>6283</v>
      </c>
      <c r="B29">
        <v>2.1</v>
      </c>
      <c r="C29">
        <v>2850</v>
      </c>
      <c r="D29">
        <v>53</v>
      </c>
    </row>
    <row r="30" spans="1:4" x14ac:dyDescent="0.25">
      <c r="A30" t="s">
        <v>106</v>
      </c>
    </row>
    <row r="31" spans="1:4" x14ac:dyDescent="0.25">
      <c r="A31" s="730" t="s">
        <v>95</v>
      </c>
      <c r="B31" s="730"/>
      <c r="C31" s="730" t="s">
        <v>98</v>
      </c>
      <c r="D31" s="730"/>
    </row>
    <row r="32" spans="1:4" x14ac:dyDescent="0.25">
      <c r="A32" t="s">
        <v>96</v>
      </c>
      <c r="B32" t="s">
        <v>102</v>
      </c>
      <c r="C32" t="s">
        <v>99</v>
      </c>
      <c r="D32" t="s">
        <v>103</v>
      </c>
    </row>
    <row r="33" spans="1:4" x14ac:dyDescent="0.25">
      <c r="A33">
        <v>6283</v>
      </c>
      <c r="B33">
        <v>7.1</v>
      </c>
      <c r="C33">
        <v>2850</v>
      </c>
      <c r="D33">
        <v>180</v>
      </c>
    </row>
    <row r="34" spans="1:4" x14ac:dyDescent="0.25">
      <c r="A34">
        <v>5997</v>
      </c>
      <c r="B34">
        <v>7.9</v>
      </c>
      <c r="C34">
        <v>2720</v>
      </c>
      <c r="D34">
        <v>200</v>
      </c>
    </row>
    <row r="35" spans="1:4" x14ac:dyDescent="0.25">
      <c r="A35">
        <v>3803</v>
      </c>
      <c r="B35">
        <v>7.9</v>
      </c>
      <c r="C35">
        <v>1725</v>
      </c>
      <c r="D35">
        <v>200</v>
      </c>
    </row>
    <row r="36" spans="1:4" x14ac:dyDescent="0.25">
      <c r="A36">
        <v>3803</v>
      </c>
      <c r="B36">
        <v>-2.4</v>
      </c>
      <c r="C36">
        <v>1725</v>
      </c>
      <c r="D36">
        <v>-60</v>
      </c>
    </row>
    <row r="37" spans="1:4" x14ac:dyDescent="0.25">
      <c r="A37">
        <v>5401</v>
      </c>
      <c r="B37">
        <v>-2.4</v>
      </c>
      <c r="C37">
        <v>2450</v>
      </c>
      <c r="D37">
        <v>-60</v>
      </c>
    </row>
    <row r="38" spans="1:4" x14ac:dyDescent="0.25">
      <c r="A38">
        <v>6283</v>
      </c>
      <c r="B38">
        <v>-2.1</v>
      </c>
      <c r="C38">
        <v>2850</v>
      </c>
      <c r="D38">
        <v>-53</v>
      </c>
    </row>
    <row r="39" spans="1:4" x14ac:dyDescent="0.25">
      <c r="A39">
        <v>6283</v>
      </c>
      <c r="B39">
        <v>7.1</v>
      </c>
      <c r="C39">
        <v>2850</v>
      </c>
      <c r="D39">
        <v>180</v>
      </c>
    </row>
    <row r="40" spans="1:4" x14ac:dyDescent="0.25">
      <c r="A40" t="s">
        <v>107</v>
      </c>
    </row>
    <row r="41" spans="1:4" x14ac:dyDescent="0.25">
      <c r="A41" s="730" t="s">
        <v>95</v>
      </c>
      <c r="B41" s="730"/>
      <c r="C41" s="730" t="s">
        <v>98</v>
      </c>
      <c r="D41" s="730"/>
    </row>
    <row r="42" spans="1:4" x14ac:dyDescent="0.25">
      <c r="A42" t="s">
        <v>96</v>
      </c>
      <c r="B42" t="s">
        <v>97</v>
      </c>
      <c r="C42" t="s">
        <v>99</v>
      </c>
      <c r="D42" t="s">
        <v>100</v>
      </c>
    </row>
    <row r="43" spans="1:4" x14ac:dyDescent="0.25">
      <c r="A43">
        <v>6944</v>
      </c>
      <c r="B43">
        <v>138.69999999999999</v>
      </c>
      <c r="C43">
        <v>3150</v>
      </c>
      <c r="D43">
        <v>3524</v>
      </c>
    </row>
    <row r="44" spans="1:4" x14ac:dyDescent="0.25">
      <c r="A44">
        <v>5401</v>
      </c>
      <c r="B44">
        <v>140.9</v>
      </c>
      <c r="C44">
        <v>2450</v>
      </c>
      <c r="D44">
        <v>3580</v>
      </c>
    </row>
    <row r="45" spans="1:4" x14ac:dyDescent="0.25">
      <c r="A45">
        <v>3803</v>
      </c>
      <c r="B45">
        <v>140.9</v>
      </c>
      <c r="C45">
        <v>1725</v>
      </c>
      <c r="D45">
        <v>3580</v>
      </c>
    </row>
    <row r="46" spans="1:4" x14ac:dyDescent="0.25">
      <c r="A46">
        <v>3803</v>
      </c>
      <c r="B46">
        <v>138.9</v>
      </c>
      <c r="C46">
        <v>1725</v>
      </c>
      <c r="D46">
        <v>3528</v>
      </c>
    </row>
    <row r="47" spans="1:4" x14ac:dyDescent="0.25">
      <c r="A47">
        <v>3995</v>
      </c>
      <c r="B47">
        <v>136.1</v>
      </c>
      <c r="C47">
        <v>1812</v>
      </c>
      <c r="D47">
        <v>3457</v>
      </c>
    </row>
    <row r="48" spans="1:4" x14ac:dyDescent="0.25">
      <c r="A48">
        <v>4504</v>
      </c>
      <c r="B48">
        <v>131.6</v>
      </c>
      <c r="C48">
        <v>2043</v>
      </c>
      <c r="D48">
        <v>3342</v>
      </c>
    </row>
    <row r="49" spans="1:4" x14ac:dyDescent="0.25">
      <c r="A49">
        <v>6283</v>
      </c>
      <c r="B49">
        <v>131.6</v>
      </c>
      <c r="C49">
        <v>2850</v>
      </c>
      <c r="D49">
        <v>3342</v>
      </c>
    </row>
    <row r="50" spans="1:4" x14ac:dyDescent="0.25">
      <c r="A50">
        <v>6944</v>
      </c>
      <c r="B50">
        <v>134.30000000000001</v>
      </c>
      <c r="C50">
        <v>3150</v>
      </c>
      <c r="D50">
        <v>3410</v>
      </c>
    </row>
    <row r="51" spans="1:4" x14ac:dyDescent="0.25">
      <c r="A51">
        <v>6944</v>
      </c>
      <c r="B51">
        <v>138.69999999999999</v>
      </c>
      <c r="C51">
        <v>3150</v>
      </c>
      <c r="D51">
        <v>3524</v>
      </c>
    </row>
    <row r="52" spans="1:4" x14ac:dyDescent="0.25">
      <c r="A52" t="s">
        <v>108</v>
      </c>
    </row>
    <row r="53" spans="1:4" x14ac:dyDescent="0.25">
      <c r="A53" s="730" t="s">
        <v>95</v>
      </c>
      <c r="B53" s="730"/>
      <c r="C53" s="730" t="s">
        <v>98</v>
      </c>
      <c r="D53" s="730"/>
    </row>
    <row r="54" spans="1:4" x14ac:dyDescent="0.25">
      <c r="A54" t="s">
        <v>96</v>
      </c>
      <c r="B54" t="s">
        <v>102</v>
      </c>
      <c r="C54" t="s">
        <v>99</v>
      </c>
      <c r="D54" t="s">
        <v>103</v>
      </c>
    </row>
    <row r="55" spans="1:4" x14ac:dyDescent="0.25">
      <c r="A55">
        <v>6944</v>
      </c>
      <c r="B55">
        <v>1.9</v>
      </c>
      <c r="C55">
        <v>3150</v>
      </c>
      <c r="D55">
        <v>48</v>
      </c>
    </row>
    <row r="56" spans="1:4" x14ac:dyDescent="0.25">
      <c r="A56">
        <v>5401</v>
      </c>
      <c r="B56">
        <v>2.4</v>
      </c>
      <c r="C56">
        <v>2450</v>
      </c>
      <c r="D56">
        <v>60</v>
      </c>
    </row>
    <row r="57" spans="1:4" x14ac:dyDescent="0.25">
      <c r="A57">
        <v>3803</v>
      </c>
      <c r="B57">
        <v>2.4</v>
      </c>
      <c r="C57">
        <v>1725</v>
      </c>
      <c r="D57">
        <v>60</v>
      </c>
    </row>
    <row r="58" spans="1:4" x14ac:dyDescent="0.25">
      <c r="A58">
        <v>3803</v>
      </c>
      <c r="B58">
        <v>-2.4</v>
      </c>
      <c r="C58">
        <v>1725</v>
      </c>
      <c r="D58">
        <v>-60</v>
      </c>
    </row>
    <row r="59" spans="1:4" x14ac:dyDescent="0.25">
      <c r="A59">
        <v>5401</v>
      </c>
      <c r="B59">
        <v>-2.4</v>
      </c>
      <c r="C59">
        <v>2450</v>
      </c>
      <c r="D59">
        <v>-60</v>
      </c>
    </row>
    <row r="60" spans="1:4" x14ac:dyDescent="0.25">
      <c r="A60">
        <v>6944</v>
      </c>
      <c r="B60">
        <v>-1.9</v>
      </c>
      <c r="C60">
        <v>3150</v>
      </c>
      <c r="D60">
        <v>-48</v>
      </c>
    </row>
    <row r="61" spans="1:4" x14ac:dyDescent="0.25">
      <c r="A61">
        <v>6944</v>
      </c>
      <c r="B61">
        <v>1.9</v>
      </c>
      <c r="C61">
        <v>3150</v>
      </c>
      <c r="D61">
        <v>48</v>
      </c>
    </row>
    <row r="64" spans="1:4" x14ac:dyDescent="0.25">
      <c r="A64" t="s">
        <v>112</v>
      </c>
    </row>
    <row r="65" spans="1:11" x14ac:dyDescent="0.25">
      <c r="A65" t="s">
        <v>113</v>
      </c>
    </row>
    <row r="67" spans="1:11" x14ac:dyDescent="0.25">
      <c r="A67" t="s">
        <v>116</v>
      </c>
    </row>
    <row r="68" spans="1:11" x14ac:dyDescent="0.25">
      <c r="A68" t="s">
        <v>117</v>
      </c>
      <c r="B68" t="s">
        <v>118</v>
      </c>
      <c r="C68" t="s">
        <v>23</v>
      </c>
      <c r="D68" t="s">
        <v>120</v>
      </c>
      <c r="E68" t="s">
        <v>121</v>
      </c>
      <c r="F68" t="s">
        <v>363</v>
      </c>
      <c r="G68" t="s">
        <v>571</v>
      </c>
      <c r="H68" t="s">
        <v>572</v>
      </c>
      <c r="I68" t="s">
        <v>573</v>
      </c>
      <c r="J68" t="s">
        <v>364</v>
      </c>
      <c r="K68" t="s">
        <v>365</v>
      </c>
    </row>
    <row r="69" spans="1:11" x14ac:dyDescent="0.25">
      <c r="A69" s="372" t="s">
        <v>669</v>
      </c>
      <c r="B69" s="369">
        <v>170161</v>
      </c>
      <c r="C69" s="307">
        <f t="shared" ref="C69:C132" si="0">F69*$B$239</f>
        <v>2033.4302564</v>
      </c>
      <c r="D69" s="291">
        <f t="shared" ref="D69:D132" si="1">J69*$B$241</f>
        <v>7253799.6500124</v>
      </c>
      <c r="E69" s="291">
        <f t="shared" ref="E69:E132" si="2">K69*$B$241</f>
        <v>58880.054543610589</v>
      </c>
      <c r="F69" s="376">
        <v>4482.95</v>
      </c>
      <c r="G69" s="376">
        <v>142.66999999999999</v>
      </c>
      <c r="H69" s="376">
        <v>1.1399999999999999</v>
      </c>
      <c r="I69" s="376">
        <v>6296.02</v>
      </c>
      <c r="J69" s="308">
        <f>I69*100</f>
        <v>629602</v>
      </c>
      <c r="K69" s="308">
        <f>F69*H69</f>
        <v>5110.5629999999992</v>
      </c>
    </row>
    <row r="70" spans="1:11" x14ac:dyDescent="0.25">
      <c r="A70" s="372" t="s">
        <v>670</v>
      </c>
      <c r="B70" s="369">
        <v>170162</v>
      </c>
      <c r="C70" s="307">
        <f t="shared" si="0"/>
        <v>1933.6264086399999</v>
      </c>
      <c r="D70" s="291">
        <f t="shared" si="1"/>
        <v>7078480.8465870004</v>
      </c>
      <c r="E70" s="291">
        <f t="shared" si="2"/>
        <v>-62374.971580648082</v>
      </c>
      <c r="F70" s="376">
        <v>4262.92</v>
      </c>
      <c r="G70" s="376">
        <v>144.12</v>
      </c>
      <c r="H70" s="376">
        <v>-1.27</v>
      </c>
      <c r="I70" s="376">
        <v>6143.85</v>
      </c>
      <c r="J70" s="308">
        <f t="shared" ref="J70:J133" si="3">I70*100</f>
        <v>614385</v>
      </c>
      <c r="K70" s="308">
        <f t="shared" ref="K70:K133" si="4">F70*H70</f>
        <v>-5413.9084000000003</v>
      </c>
    </row>
    <row r="71" spans="1:11" x14ac:dyDescent="0.25">
      <c r="A71" s="372" t="s">
        <v>671</v>
      </c>
      <c r="B71" s="369">
        <v>170163</v>
      </c>
      <c r="C71" s="307">
        <f t="shared" si="0"/>
        <v>1994.4576317599999</v>
      </c>
      <c r="D71" s="291">
        <f t="shared" si="1"/>
        <v>7265101.9925346002</v>
      </c>
      <c r="E71" s="291">
        <f t="shared" si="2"/>
        <v>5572.5191696664597</v>
      </c>
      <c r="F71" s="376">
        <v>4397.03</v>
      </c>
      <c r="G71" s="376">
        <v>143.41</v>
      </c>
      <c r="H71" s="376">
        <v>0.11</v>
      </c>
      <c r="I71" s="376">
        <v>6305.83</v>
      </c>
      <c r="J71" s="308">
        <f t="shared" si="3"/>
        <v>630583</v>
      </c>
      <c r="K71" s="308">
        <f t="shared" si="4"/>
        <v>483.67329999999998</v>
      </c>
    </row>
    <row r="72" spans="1:11" x14ac:dyDescent="0.25">
      <c r="A72" s="372" t="s">
        <v>672</v>
      </c>
      <c r="B72" s="369">
        <v>170164</v>
      </c>
      <c r="C72" s="307">
        <f t="shared" si="0"/>
        <v>1977.6293685600001</v>
      </c>
      <c r="D72" s="291">
        <f t="shared" si="1"/>
        <v>7231010.6250288002</v>
      </c>
      <c r="E72" s="291">
        <f t="shared" si="2"/>
        <v>-6027.8192333719198</v>
      </c>
      <c r="F72" s="376">
        <v>4359.93</v>
      </c>
      <c r="G72" s="376">
        <v>143.94999999999999</v>
      </c>
      <c r="H72" s="376">
        <v>-0.12</v>
      </c>
      <c r="I72" s="376">
        <v>6276.24</v>
      </c>
      <c r="J72" s="308">
        <f t="shared" si="3"/>
        <v>627624</v>
      </c>
      <c r="K72" s="308">
        <f t="shared" si="4"/>
        <v>-523.19159999999999</v>
      </c>
    </row>
    <row r="73" spans="1:11" x14ac:dyDescent="0.25">
      <c r="A73" s="372" t="s">
        <v>673</v>
      </c>
      <c r="B73" s="369">
        <v>170165</v>
      </c>
      <c r="C73" s="307">
        <f t="shared" si="0"/>
        <v>1973.6286871199998</v>
      </c>
      <c r="D73" s="291">
        <f t="shared" si="1"/>
        <v>7209062.6510178</v>
      </c>
      <c r="E73" s="291">
        <f t="shared" si="2"/>
        <v>-7519.5314329922994</v>
      </c>
      <c r="F73" s="376">
        <v>4351.1099999999997</v>
      </c>
      <c r="G73" s="376">
        <v>143.81</v>
      </c>
      <c r="H73" s="376">
        <v>-0.15</v>
      </c>
      <c r="I73" s="376">
        <v>6257.19</v>
      </c>
      <c r="J73" s="308">
        <f t="shared" si="3"/>
        <v>625719</v>
      </c>
      <c r="K73" s="308">
        <f t="shared" si="4"/>
        <v>-652.66649999999993</v>
      </c>
    </row>
    <row r="74" spans="1:11" x14ac:dyDescent="0.25">
      <c r="A74" s="372" t="s">
        <v>674</v>
      </c>
      <c r="B74" s="369">
        <v>170166</v>
      </c>
      <c r="C74" s="307">
        <f t="shared" si="0"/>
        <v>1987.12758504</v>
      </c>
      <c r="D74" s="291">
        <f t="shared" si="1"/>
        <v>7243914.4207728002</v>
      </c>
      <c r="E74" s="291">
        <f t="shared" si="2"/>
        <v>504.73081840194004</v>
      </c>
      <c r="F74" s="376">
        <v>4380.87</v>
      </c>
      <c r="G74" s="376">
        <v>143.52000000000001</v>
      </c>
      <c r="H74" s="376">
        <v>0.01</v>
      </c>
      <c r="I74" s="376">
        <v>6287.44</v>
      </c>
      <c r="J74" s="308">
        <f t="shared" si="3"/>
        <v>628744</v>
      </c>
      <c r="K74" s="308">
        <f t="shared" si="4"/>
        <v>43.808700000000002</v>
      </c>
    </row>
    <row r="75" spans="1:11" x14ac:dyDescent="0.25">
      <c r="A75" s="373" t="s">
        <v>675</v>
      </c>
      <c r="B75" s="369">
        <v>170167</v>
      </c>
      <c r="C75" s="307">
        <f t="shared" si="0"/>
        <v>1980.1286604799998</v>
      </c>
      <c r="D75" s="291">
        <f t="shared" si="1"/>
        <v>7231425.3898919998</v>
      </c>
      <c r="E75" s="291">
        <f t="shared" si="2"/>
        <v>7041.3432615859201</v>
      </c>
      <c r="F75" s="376">
        <v>4365.4399999999996</v>
      </c>
      <c r="G75" s="376">
        <v>143.78</v>
      </c>
      <c r="H75" s="376">
        <v>0.14000000000000001</v>
      </c>
      <c r="I75" s="376">
        <v>6276.6</v>
      </c>
      <c r="J75" s="308">
        <f t="shared" si="3"/>
        <v>627660</v>
      </c>
      <c r="K75" s="308">
        <f t="shared" si="4"/>
        <v>611.16160000000002</v>
      </c>
    </row>
    <row r="76" spans="1:11" x14ac:dyDescent="0.25">
      <c r="A76" s="372" t="s">
        <v>676</v>
      </c>
      <c r="B76" s="369">
        <v>170168</v>
      </c>
      <c r="C76" s="307">
        <f t="shared" si="0"/>
        <v>1989.6268769600001</v>
      </c>
      <c r="D76" s="291">
        <f t="shared" si="1"/>
        <v>7276623.2387346001</v>
      </c>
      <c r="E76" s="291">
        <f t="shared" si="2"/>
        <v>-17687.797367364601</v>
      </c>
      <c r="F76" s="376">
        <v>4386.38</v>
      </c>
      <c r="G76" s="376">
        <v>143.99</v>
      </c>
      <c r="H76" s="376">
        <v>-0.35</v>
      </c>
      <c r="I76" s="376">
        <v>6315.83</v>
      </c>
      <c r="J76" s="308">
        <f t="shared" si="3"/>
        <v>631583</v>
      </c>
      <c r="K76" s="308">
        <f t="shared" si="4"/>
        <v>-1535.2329999999999</v>
      </c>
    </row>
    <row r="77" spans="1:11" x14ac:dyDescent="0.25">
      <c r="A77" s="372" t="s">
        <v>677</v>
      </c>
      <c r="B77" s="369">
        <v>170191</v>
      </c>
      <c r="C77" s="307">
        <f t="shared" si="0"/>
        <v>2040.9689554399999</v>
      </c>
      <c r="D77" s="291">
        <f t="shared" si="1"/>
        <v>7358781.2453867998</v>
      </c>
      <c r="E77" s="291">
        <f t="shared" si="2"/>
        <v>85537.078710821093</v>
      </c>
      <c r="F77" s="376">
        <v>4499.57</v>
      </c>
      <c r="G77" s="376">
        <v>141.94999999999999</v>
      </c>
      <c r="H77" s="376">
        <v>1.65</v>
      </c>
      <c r="I77" s="376">
        <v>6387.14</v>
      </c>
      <c r="J77" s="308">
        <f t="shared" si="3"/>
        <v>638714</v>
      </c>
      <c r="K77" s="308">
        <f t="shared" si="4"/>
        <v>7424.2904999999992</v>
      </c>
    </row>
    <row r="78" spans="1:11" x14ac:dyDescent="0.25">
      <c r="A78" s="372" t="s">
        <v>678</v>
      </c>
      <c r="B78" s="369">
        <v>170192</v>
      </c>
      <c r="C78" s="307">
        <f t="shared" si="0"/>
        <v>1993.66838168</v>
      </c>
      <c r="D78" s="291">
        <f t="shared" si="1"/>
        <v>7249387.0127178002</v>
      </c>
      <c r="E78" s="291">
        <f t="shared" si="2"/>
        <v>10127.843642079601</v>
      </c>
      <c r="F78" s="376">
        <v>4395.29</v>
      </c>
      <c r="G78" s="376">
        <v>143.16</v>
      </c>
      <c r="H78" s="376">
        <v>0.2</v>
      </c>
      <c r="I78" s="376">
        <v>6292.19</v>
      </c>
      <c r="J78" s="308">
        <f t="shared" si="3"/>
        <v>629219</v>
      </c>
      <c r="K78" s="308">
        <f t="shared" si="4"/>
        <v>879.05799999999999</v>
      </c>
    </row>
    <row r="79" spans="1:11" x14ac:dyDescent="0.25">
      <c r="A79" s="372" t="s">
        <v>679</v>
      </c>
      <c r="B79" s="369">
        <v>170193</v>
      </c>
      <c r="C79" s="307">
        <f t="shared" si="0"/>
        <v>1989.16874904</v>
      </c>
      <c r="D79" s="291">
        <f t="shared" si="1"/>
        <v>7230595.8601655997</v>
      </c>
      <c r="E79" s="291">
        <f t="shared" si="2"/>
        <v>19199.47243027572</v>
      </c>
      <c r="F79" s="376">
        <v>4385.37</v>
      </c>
      <c r="G79" s="376">
        <v>143.11000000000001</v>
      </c>
      <c r="H79" s="376">
        <v>0.38</v>
      </c>
      <c r="I79" s="376">
        <v>6275.88</v>
      </c>
      <c r="J79" s="308">
        <f t="shared" si="3"/>
        <v>627588</v>
      </c>
      <c r="K79" s="308">
        <f t="shared" si="4"/>
        <v>1666.4405999999999</v>
      </c>
    </row>
    <row r="80" spans="1:11" x14ac:dyDescent="0.25">
      <c r="A80" s="372" t="s">
        <v>680</v>
      </c>
      <c r="B80" s="369">
        <v>170194</v>
      </c>
      <c r="C80" s="307">
        <f t="shared" si="0"/>
        <v>1991.6680409600001</v>
      </c>
      <c r="D80" s="291">
        <f t="shared" si="1"/>
        <v>7234490.0413811998</v>
      </c>
      <c r="E80" s="291">
        <f t="shared" si="2"/>
        <v>10623.56599807776</v>
      </c>
      <c r="F80" s="376">
        <v>4390.88</v>
      </c>
      <c r="G80" s="376">
        <v>143.41999999999999</v>
      </c>
      <c r="H80" s="376">
        <v>0.21</v>
      </c>
      <c r="I80" s="376">
        <v>6279.26</v>
      </c>
      <c r="J80" s="308">
        <f t="shared" si="3"/>
        <v>627926</v>
      </c>
      <c r="K80" s="308">
        <f t="shared" si="4"/>
        <v>922.08479999999997</v>
      </c>
    </row>
    <row r="81" spans="1:11" x14ac:dyDescent="0.25">
      <c r="A81" s="372" t="s">
        <v>681</v>
      </c>
      <c r="B81" s="369">
        <v>170195</v>
      </c>
      <c r="C81" s="307">
        <f t="shared" si="0"/>
        <v>1990.6701385600002</v>
      </c>
      <c r="D81" s="291">
        <f t="shared" si="1"/>
        <v>7207714.6652124003</v>
      </c>
      <c r="E81" s="291">
        <f t="shared" si="2"/>
        <v>36911.035824301682</v>
      </c>
      <c r="F81" s="376">
        <v>4388.68</v>
      </c>
      <c r="G81" s="376">
        <v>142.55000000000001</v>
      </c>
      <c r="H81" s="376">
        <v>0.73</v>
      </c>
      <c r="I81" s="376">
        <v>6256.02</v>
      </c>
      <c r="J81" s="308">
        <f t="shared" si="3"/>
        <v>625602</v>
      </c>
      <c r="K81" s="308">
        <f t="shared" si="4"/>
        <v>3203.7364000000002</v>
      </c>
    </row>
    <row r="82" spans="1:11" x14ac:dyDescent="0.25">
      <c r="A82" s="372" t="s">
        <v>682</v>
      </c>
      <c r="B82" s="369">
        <v>170196</v>
      </c>
      <c r="C82" s="307">
        <f t="shared" si="0"/>
        <v>1999.6694038400001</v>
      </c>
      <c r="D82" s="291">
        <f t="shared" si="1"/>
        <v>7283950.7513178</v>
      </c>
      <c r="E82" s="291">
        <f t="shared" si="2"/>
        <v>-2539.5822148812003</v>
      </c>
      <c r="F82" s="376">
        <v>4408.5200000000004</v>
      </c>
      <c r="G82" s="376">
        <v>143.41</v>
      </c>
      <c r="H82" s="376">
        <v>-0.05</v>
      </c>
      <c r="I82" s="376">
        <v>6322.19</v>
      </c>
      <c r="J82" s="308">
        <f t="shared" si="3"/>
        <v>632219</v>
      </c>
      <c r="K82" s="308">
        <f t="shared" si="4"/>
        <v>-220.42600000000004</v>
      </c>
    </row>
    <row r="83" spans="1:11" x14ac:dyDescent="0.25">
      <c r="A83" s="372" t="s">
        <v>683</v>
      </c>
      <c r="B83" s="369">
        <v>170197</v>
      </c>
      <c r="C83" s="307">
        <f t="shared" si="0"/>
        <v>1986.6876007999999</v>
      </c>
      <c r="D83" s="291">
        <f t="shared" si="1"/>
        <v>7225434.3418680001</v>
      </c>
      <c r="E83" s="291">
        <f t="shared" si="2"/>
        <v>2523.0953115689999</v>
      </c>
      <c r="F83" s="376">
        <v>4379.8999999999996</v>
      </c>
      <c r="G83" s="376">
        <v>143.19</v>
      </c>
      <c r="H83" s="376">
        <v>0.05</v>
      </c>
      <c r="I83" s="376">
        <v>6271.4</v>
      </c>
      <c r="J83" s="308">
        <f t="shared" si="3"/>
        <v>627140</v>
      </c>
      <c r="K83" s="308">
        <f t="shared" si="4"/>
        <v>218.995</v>
      </c>
    </row>
    <row r="84" spans="1:11" x14ac:dyDescent="0.25">
      <c r="A84" s="372" t="s">
        <v>684</v>
      </c>
      <c r="B84" s="369">
        <v>170198</v>
      </c>
      <c r="C84" s="307">
        <f t="shared" si="0"/>
        <v>1990.6701385600002</v>
      </c>
      <c r="D84" s="291">
        <f t="shared" si="1"/>
        <v>7234616.7750893999</v>
      </c>
      <c r="E84" s="291">
        <f t="shared" si="2"/>
        <v>13146.39632098416</v>
      </c>
      <c r="F84" s="376">
        <v>4388.68</v>
      </c>
      <c r="G84" s="376">
        <v>143.08000000000001</v>
      </c>
      <c r="H84" s="376">
        <v>0.26</v>
      </c>
      <c r="I84" s="376">
        <v>6279.37</v>
      </c>
      <c r="J84" s="308">
        <f t="shared" si="3"/>
        <v>627937</v>
      </c>
      <c r="K84" s="308">
        <f t="shared" si="4"/>
        <v>1141.0568000000001</v>
      </c>
    </row>
    <row r="85" spans="1:11" x14ac:dyDescent="0.25">
      <c r="A85" s="372" t="s">
        <v>685</v>
      </c>
      <c r="B85" s="369">
        <v>170199</v>
      </c>
      <c r="C85" s="307">
        <f t="shared" si="0"/>
        <v>1989.6677002400002</v>
      </c>
      <c r="D85" s="291">
        <f t="shared" si="1"/>
        <v>7230135.0103176003</v>
      </c>
      <c r="E85" s="291">
        <f t="shared" si="2"/>
        <v>17688.160286619899</v>
      </c>
      <c r="F85" s="376">
        <v>4386.47</v>
      </c>
      <c r="G85" s="376">
        <v>143.06</v>
      </c>
      <c r="H85" s="376">
        <v>0.35</v>
      </c>
      <c r="I85" s="376">
        <v>6275.48</v>
      </c>
      <c r="J85" s="308">
        <f t="shared" si="3"/>
        <v>627548</v>
      </c>
      <c r="K85" s="308">
        <f t="shared" si="4"/>
        <v>1535.2645</v>
      </c>
    </row>
    <row r="86" spans="1:11" x14ac:dyDescent="0.25">
      <c r="A86" s="372" t="s">
        <v>686</v>
      </c>
      <c r="B86" s="369">
        <v>170200</v>
      </c>
      <c r="C86" s="307">
        <f t="shared" si="0"/>
        <v>1991.6680409600001</v>
      </c>
      <c r="D86" s="291">
        <f t="shared" si="1"/>
        <v>7239087.0186149999</v>
      </c>
      <c r="E86" s="291">
        <f t="shared" si="2"/>
        <v>8094.1455223449602</v>
      </c>
      <c r="F86" s="376">
        <v>4390.88</v>
      </c>
      <c r="G86" s="376">
        <v>143.1</v>
      </c>
      <c r="H86" s="376">
        <v>0.16</v>
      </c>
      <c r="I86" s="376">
        <v>6283.25</v>
      </c>
      <c r="J86" s="308">
        <f t="shared" si="3"/>
        <v>628325</v>
      </c>
      <c r="K86" s="308">
        <f t="shared" si="4"/>
        <v>702.54079999999999</v>
      </c>
    </row>
    <row r="87" spans="1:11" x14ac:dyDescent="0.25">
      <c r="A87" s="372" t="s">
        <v>687</v>
      </c>
      <c r="B87" s="369">
        <v>170201</v>
      </c>
      <c r="C87" s="307">
        <f t="shared" si="0"/>
        <v>1993.1694304799998</v>
      </c>
      <c r="D87" s="291">
        <f t="shared" si="1"/>
        <v>7260597.1852703998</v>
      </c>
      <c r="E87" s="291">
        <f t="shared" si="2"/>
        <v>-6075.185380749359</v>
      </c>
      <c r="F87" s="376">
        <v>4394.1899999999996</v>
      </c>
      <c r="G87" s="376">
        <v>143.41</v>
      </c>
      <c r="H87" s="376">
        <v>-0.12</v>
      </c>
      <c r="I87" s="376">
        <v>6301.92</v>
      </c>
      <c r="J87" s="308">
        <f t="shared" si="3"/>
        <v>630192</v>
      </c>
      <c r="K87" s="308">
        <f t="shared" si="4"/>
        <v>-527.30279999999993</v>
      </c>
    </row>
    <row r="88" spans="1:11" x14ac:dyDescent="0.25">
      <c r="A88" s="373" t="s">
        <v>688</v>
      </c>
      <c r="B88" s="369">
        <v>170202</v>
      </c>
      <c r="C88" s="307">
        <f t="shared" si="0"/>
        <v>1992.1715280799999</v>
      </c>
      <c r="D88" s="291">
        <f t="shared" si="1"/>
        <v>7246702.5623532003</v>
      </c>
      <c r="E88" s="291">
        <f t="shared" si="2"/>
        <v>4048.0958478350399</v>
      </c>
      <c r="F88" s="376">
        <v>4391.99</v>
      </c>
      <c r="G88" s="376">
        <v>143.21</v>
      </c>
      <c r="H88" s="376">
        <v>0.08</v>
      </c>
      <c r="I88" s="376">
        <v>6289.86</v>
      </c>
      <c r="J88" s="308">
        <f t="shared" si="3"/>
        <v>628986</v>
      </c>
      <c r="K88" s="308">
        <f t="shared" si="4"/>
        <v>351.35919999999999</v>
      </c>
    </row>
    <row r="89" spans="1:11" x14ac:dyDescent="0.25">
      <c r="A89" s="372" t="s">
        <v>689</v>
      </c>
      <c r="B89" s="369">
        <v>170203</v>
      </c>
      <c r="C89" s="307">
        <f t="shared" si="0"/>
        <v>1990.6701385600002</v>
      </c>
      <c r="D89" s="291">
        <f t="shared" si="1"/>
        <v>7242681.6474294001</v>
      </c>
      <c r="E89" s="291">
        <f t="shared" si="2"/>
        <v>7078.8287882222421</v>
      </c>
      <c r="F89" s="376">
        <v>4388.68</v>
      </c>
      <c r="G89" s="376">
        <v>143.24</v>
      </c>
      <c r="H89" s="376">
        <v>0.14000000000000001</v>
      </c>
      <c r="I89" s="376">
        <v>6286.37</v>
      </c>
      <c r="J89" s="308">
        <f t="shared" si="3"/>
        <v>628637</v>
      </c>
      <c r="K89" s="308">
        <f t="shared" si="4"/>
        <v>614.41520000000014</v>
      </c>
    </row>
    <row r="90" spans="1:11" x14ac:dyDescent="0.25">
      <c r="A90" s="372" t="s">
        <v>690</v>
      </c>
      <c r="B90" s="369">
        <v>170204</v>
      </c>
      <c r="C90" s="307">
        <f t="shared" si="0"/>
        <v>1990.6701385600002</v>
      </c>
      <c r="D90" s="291">
        <f t="shared" si="1"/>
        <v>7250758.0410155999</v>
      </c>
      <c r="E90" s="291">
        <f t="shared" si="2"/>
        <v>-4045.0450218412802</v>
      </c>
      <c r="F90" s="376">
        <v>4388.68</v>
      </c>
      <c r="G90" s="376">
        <v>143.4</v>
      </c>
      <c r="H90" s="376">
        <v>-0.08</v>
      </c>
      <c r="I90" s="376">
        <v>6293.38</v>
      </c>
      <c r="J90" s="308">
        <f t="shared" si="3"/>
        <v>629338</v>
      </c>
      <c r="K90" s="308">
        <f t="shared" si="4"/>
        <v>-351.09440000000001</v>
      </c>
    </row>
    <row r="91" spans="1:11" x14ac:dyDescent="0.25">
      <c r="A91" s="372" t="s">
        <v>691</v>
      </c>
      <c r="B91" s="369">
        <v>170227</v>
      </c>
      <c r="C91" s="307">
        <f t="shared" si="0"/>
        <v>1997.65999128</v>
      </c>
      <c r="D91" s="291">
        <f t="shared" si="1"/>
        <v>7259237.6782188006</v>
      </c>
      <c r="E91" s="291">
        <f t="shared" si="2"/>
        <v>26385.11469201816</v>
      </c>
      <c r="F91" s="376">
        <v>4404.09</v>
      </c>
      <c r="G91" s="376">
        <v>143.07</v>
      </c>
      <c r="H91" s="376">
        <v>0.52</v>
      </c>
      <c r="I91" s="376">
        <v>6300.74</v>
      </c>
      <c r="J91" s="308">
        <f t="shared" si="3"/>
        <v>630074</v>
      </c>
      <c r="K91" s="308">
        <f t="shared" si="4"/>
        <v>2290.1268</v>
      </c>
    </row>
    <row r="92" spans="1:11" x14ac:dyDescent="0.25">
      <c r="A92" s="372" t="s">
        <v>692</v>
      </c>
      <c r="B92" s="369">
        <v>170228</v>
      </c>
      <c r="C92" s="307">
        <f t="shared" si="0"/>
        <v>1986.0571079200001</v>
      </c>
      <c r="D92" s="291">
        <f t="shared" si="1"/>
        <v>7233695.0753934002</v>
      </c>
      <c r="E92" s="291">
        <f t="shared" si="2"/>
        <v>-2017.8356679664801</v>
      </c>
      <c r="F92" s="376">
        <v>4378.51</v>
      </c>
      <c r="G92" s="376">
        <v>143.38999999999999</v>
      </c>
      <c r="H92" s="376">
        <v>-0.04</v>
      </c>
      <c r="I92" s="376">
        <v>6278.57</v>
      </c>
      <c r="J92" s="308">
        <f t="shared" si="3"/>
        <v>627857</v>
      </c>
      <c r="K92" s="308">
        <f t="shared" si="4"/>
        <v>-175.1404</v>
      </c>
    </row>
    <row r="93" spans="1:11" x14ac:dyDescent="0.25">
      <c r="A93" s="373" t="s">
        <v>693</v>
      </c>
      <c r="B93" s="369">
        <v>170229</v>
      </c>
      <c r="C93" s="307">
        <f t="shared" si="0"/>
        <v>2044.1577072000002</v>
      </c>
      <c r="D93" s="291">
        <f t="shared" si="1"/>
        <v>7397342.8564181998</v>
      </c>
      <c r="E93" s="291">
        <f t="shared" si="2"/>
        <v>64902.060156150001</v>
      </c>
      <c r="F93" s="376">
        <v>4506.6000000000004</v>
      </c>
      <c r="G93" s="376">
        <v>142.47</v>
      </c>
      <c r="H93" s="376">
        <v>1.25</v>
      </c>
      <c r="I93" s="376">
        <v>6420.61</v>
      </c>
      <c r="J93" s="308">
        <f t="shared" si="3"/>
        <v>642061</v>
      </c>
      <c r="K93" s="308">
        <f t="shared" si="4"/>
        <v>5633.25</v>
      </c>
    </row>
    <row r="94" spans="1:11" x14ac:dyDescent="0.25">
      <c r="A94" s="372" t="s">
        <v>694</v>
      </c>
      <c r="B94" s="369">
        <v>170230</v>
      </c>
      <c r="C94" s="307">
        <f t="shared" si="0"/>
        <v>1987.4587072000002</v>
      </c>
      <c r="D94" s="291">
        <f t="shared" si="1"/>
        <v>7236460.1744814003</v>
      </c>
      <c r="E94" s="291">
        <f t="shared" si="2"/>
        <v>9086.6686229856005</v>
      </c>
      <c r="F94" s="376">
        <v>4381.6000000000004</v>
      </c>
      <c r="G94" s="376">
        <v>143.35</v>
      </c>
      <c r="H94" s="376">
        <v>0.18</v>
      </c>
      <c r="I94" s="376">
        <v>6280.97</v>
      </c>
      <c r="J94" s="308">
        <f t="shared" si="3"/>
        <v>628097</v>
      </c>
      <c r="K94" s="308">
        <f t="shared" si="4"/>
        <v>788.68799999999999</v>
      </c>
    </row>
    <row r="95" spans="1:11" x14ac:dyDescent="0.25">
      <c r="A95" s="372" t="s">
        <v>695</v>
      </c>
      <c r="B95" s="369">
        <v>170231</v>
      </c>
      <c r="C95" s="307">
        <f t="shared" si="0"/>
        <v>1996.4579724799999</v>
      </c>
      <c r="D95" s="291">
        <f t="shared" si="1"/>
        <v>7260597.1852703998</v>
      </c>
      <c r="E95" s="291">
        <f t="shared" si="2"/>
        <v>8113.6118199244793</v>
      </c>
      <c r="F95" s="376">
        <v>4401.4399999999996</v>
      </c>
      <c r="G95" s="376">
        <v>143.18</v>
      </c>
      <c r="H95" s="376">
        <v>0.16</v>
      </c>
      <c r="I95" s="376">
        <v>6301.92</v>
      </c>
      <c r="J95" s="308">
        <f t="shared" si="3"/>
        <v>630192</v>
      </c>
      <c r="K95" s="308">
        <f t="shared" si="4"/>
        <v>704.23039999999992</v>
      </c>
    </row>
    <row r="96" spans="1:11" x14ac:dyDescent="0.25">
      <c r="A96" s="372" t="s">
        <v>696</v>
      </c>
      <c r="B96" s="369">
        <v>170232</v>
      </c>
      <c r="C96" s="307">
        <f t="shared" si="0"/>
        <v>1997.9593620000001</v>
      </c>
      <c r="D96" s="291">
        <f t="shared" si="1"/>
        <v>7249824.8200733997</v>
      </c>
      <c r="E96" s="291">
        <f t="shared" si="2"/>
        <v>41106.049451554507</v>
      </c>
      <c r="F96" s="376">
        <v>4404.75</v>
      </c>
      <c r="G96" s="376">
        <v>142.86000000000001</v>
      </c>
      <c r="H96" s="376">
        <v>0.81</v>
      </c>
      <c r="I96" s="376">
        <v>6292.57</v>
      </c>
      <c r="J96" s="308">
        <f t="shared" si="3"/>
        <v>629257</v>
      </c>
      <c r="K96" s="308">
        <f t="shared" si="4"/>
        <v>3567.8475000000003</v>
      </c>
    </row>
    <row r="97" spans="1:11" x14ac:dyDescent="0.25">
      <c r="A97" s="372" t="s">
        <v>697</v>
      </c>
      <c r="B97" s="369">
        <v>170233</v>
      </c>
      <c r="C97" s="307">
        <f t="shared" si="0"/>
        <v>1995.9590212800001</v>
      </c>
      <c r="D97" s="291">
        <f t="shared" si="1"/>
        <v>7239524.8259706004</v>
      </c>
      <c r="E97" s="291">
        <f t="shared" si="2"/>
        <v>33967.25833748436</v>
      </c>
      <c r="F97" s="376">
        <v>4400.34</v>
      </c>
      <c r="G97" s="376">
        <v>142.80000000000001</v>
      </c>
      <c r="H97" s="376">
        <v>0.67</v>
      </c>
      <c r="I97" s="376">
        <v>6283.63</v>
      </c>
      <c r="J97" s="308">
        <f t="shared" si="3"/>
        <v>628363</v>
      </c>
      <c r="K97" s="308">
        <f t="shared" si="4"/>
        <v>2948.2278000000001</v>
      </c>
    </row>
    <row r="98" spans="1:11" x14ac:dyDescent="0.25">
      <c r="A98" s="373" t="s">
        <v>698</v>
      </c>
      <c r="B98" s="369">
        <v>170234</v>
      </c>
      <c r="C98" s="307">
        <f t="shared" si="0"/>
        <v>1992.0898815200001</v>
      </c>
      <c r="D98" s="291">
        <f t="shared" si="1"/>
        <v>7263408.3693431998</v>
      </c>
      <c r="E98" s="291">
        <f t="shared" si="2"/>
        <v>27829.518350492104</v>
      </c>
      <c r="F98" s="376">
        <v>4391.8100000000004</v>
      </c>
      <c r="G98" s="376">
        <v>143.55000000000001</v>
      </c>
      <c r="H98" s="376">
        <v>0.55000000000000004</v>
      </c>
      <c r="I98" s="376">
        <v>6304.36</v>
      </c>
      <c r="J98" s="308">
        <f t="shared" si="3"/>
        <v>630436</v>
      </c>
      <c r="K98" s="308">
        <f t="shared" si="4"/>
        <v>2415.4955000000004</v>
      </c>
    </row>
    <row r="99" spans="1:11" x14ac:dyDescent="0.25">
      <c r="A99" s="372" t="s">
        <v>699</v>
      </c>
      <c r="B99" s="369">
        <v>170235</v>
      </c>
      <c r="C99" s="307">
        <f t="shared" si="0"/>
        <v>1984.4604640799998</v>
      </c>
      <c r="D99" s="291">
        <f t="shared" si="1"/>
        <v>7253972.4687053999</v>
      </c>
      <c r="E99" s="291">
        <f t="shared" si="2"/>
        <v>3024.3202147522798</v>
      </c>
      <c r="F99" s="376">
        <v>4374.99</v>
      </c>
      <c r="G99" s="376">
        <v>143.91</v>
      </c>
      <c r="H99" s="376">
        <v>0.06</v>
      </c>
      <c r="I99" s="376">
        <v>6296.17</v>
      </c>
      <c r="J99" s="308">
        <f t="shared" si="3"/>
        <v>629617</v>
      </c>
      <c r="K99" s="308">
        <f t="shared" si="4"/>
        <v>262.49939999999998</v>
      </c>
    </row>
    <row r="100" spans="1:11" x14ac:dyDescent="0.25">
      <c r="A100" s="372" t="s">
        <v>700</v>
      </c>
      <c r="B100" s="369">
        <v>170236</v>
      </c>
      <c r="C100" s="307">
        <f t="shared" si="0"/>
        <v>1995.4600700799999</v>
      </c>
      <c r="D100" s="291">
        <f t="shared" si="1"/>
        <v>7264191.8140848</v>
      </c>
      <c r="E100" s="291">
        <f t="shared" si="2"/>
        <v>11657.48724056424</v>
      </c>
      <c r="F100" s="376">
        <v>4399.24</v>
      </c>
      <c r="G100" s="376">
        <v>143.32</v>
      </c>
      <c r="H100" s="376">
        <v>0.23</v>
      </c>
      <c r="I100" s="376">
        <v>6305.04</v>
      </c>
      <c r="J100" s="308">
        <f t="shared" si="3"/>
        <v>630504</v>
      </c>
      <c r="K100" s="308">
        <f t="shared" si="4"/>
        <v>1011.8252</v>
      </c>
    </row>
    <row r="101" spans="1:11" x14ac:dyDescent="0.25">
      <c r="A101" s="373" t="s">
        <v>701</v>
      </c>
      <c r="B101" s="369">
        <v>170237</v>
      </c>
      <c r="C101" s="307">
        <f t="shared" si="0"/>
        <v>1996.4579724799999</v>
      </c>
      <c r="D101" s="291">
        <f t="shared" si="1"/>
        <v>7272706.0150266001</v>
      </c>
      <c r="E101" s="291">
        <f t="shared" si="2"/>
        <v>9634.9140361603204</v>
      </c>
      <c r="F101" s="376">
        <v>4401.4399999999996</v>
      </c>
      <c r="G101" s="376">
        <v>143.41999999999999</v>
      </c>
      <c r="H101" s="376">
        <v>0.19</v>
      </c>
      <c r="I101" s="376">
        <v>6312.43</v>
      </c>
      <c r="J101" s="308">
        <f t="shared" si="3"/>
        <v>631243</v>
      </c>
      <c r="K101" s="308">
        <f t="shared" si="4"/>
        <v>836.27359999999999</v>
      </c>
    </row>
    <row r="102" spans="1:11" x14ac:dyDescent="0.25">
      <c r="A102" s="372" t="s">
        <v>702</v>
      </c>
      <c r="B102" s="369">
        <v>170238</v>
      </c>
      <c r="C102" s="307">
        <f t="shared" si="0"/>
        <v>1990.45695032</v>
      </c>
      <c r="D102" s="291">
        <f t="shared" si="1"/>
        <v>7222185.3504395997</v>
      </c>
      <c r="E102" s="291">
        <f t="shared" si="2"/>
        <v>30840.165150254219</v>
      </c>
      <c r="F102" s="376">
        <v>4388.21</v>
      </c>
      <c r="G102" s="376">
        <v>142.85</v>
      </c>
      <c r="H102" s="376">
        <v>0.61</v>
      </c>
      <c r="I102" s="376">
        <v>6268.58</v>
      </c>
      <c r="J102" s="308">
        <f t="shared" si="3"/>
        <v>626858</v>
      </c>
      <c r="K102" s="308">
        <f t="shared" si="4"/>
        <v>2676.8080999999997</v>
      </c>
    </row>
    <row r="103" spans="1:11" x14ac:dyDescent="0.25">
      <c r="A103" s="372" t="s">
        <v>703</v>
      </c>
      <c r="B103" s="369">
        <v>170239</v>
      </c>
      <c r="C103" s="307">
        <f t="shared" si="0"/>
        <v>1992.45729104</v>
      </c>
      <c r="D103" s="291">
        <f t="shared" si="1"/>
        <v>7233280.3105302006</v>
      </c>
      <c r="E103" s="291">
        <f t="shared" si="2"/>
        <v>16700.79063940452</v>
      </c>
      <c r="F103" s="376">
        <v>4392.62</v>
      </c>
      <c r="G103" s="376">
        <v>142.93</v>
      </c>
      <c r="H103" s="376">
        <v>0.33</v>
      </c>
      <c r="I103" s="376">
        <v>6278.21</v>
      </c>
      <c r="J103" s="308">
        <f t="shared" si="3"/>
        <v>627821</v>
      </c>
      <c r="K103" s="308">
        <f t="shared" si="4"/>
        <v>1449.5645999999999</v>
      </c>
    </row>
    <row r="104" spans="1:11" x14ac:dyDescent="0.25">
      <c r="A104" s="372" t="s">
        <v>704</v>
      </c>
      <c r="B104" s="369">
        <v>170240</v>
      </c>
      <c r="C104" s="307">
        <f t="shared" si="0"/>
        <v>1992.05813008</v>
      </c>
      <c r="D104" s="291">
        <f t="shared" si="1"/>
        <v>7241172.3641772</v>
      </c>
      <c r="E104" s="291">
        <f t="shared" si="2"/>
        <v>21251.293470282959</v>
      </c>
      <c r="F104" s="376">
        <v>4391.74</v>
      </c>
      <c r="G104" s="376">
        <v>143.11000000000001</v>
      </c>
      <c r="H104" s="376">
        <v>0.42</v>
      </c>
      <c r="I104" s="376">
        <v>6285.06</v>
      </c>
      <c r="J104" s="308">
        <f t="shared" si="3"/>
        <v>628506</v>
      </c>
      <c r="K104" s="308">
        <f t="shared" si="4"/>
        <v>1844.5307999999998</v>
      </c>
    </row>
    <row r="105" spans="1:11" x14ac:dyDescent="0.25">
      <c r="A105" s="372" t="s">
        <v>705</v>
      </c>
      <c r="B105" s="369">
        <v>170263</v>
      </c>
      <c r="C105" s="307">
        <f t="shared" si="0"/>
        <v>2002.6268236799999</v>
      </c>
      <c r="D105" s="291">
        <f t="shared" si="1"/>
        <v>7294158.5754510006</v>
      </c>
      <c r="E105" s="291">
        <f t="shared" si="2"/>
        <v>9156.0173081126395</v>
      </c>
      <c r="F105" s="376">
        <v>4415.04</v>
      </c>
      <c r="G105" s="376">
        <v>143.4</v>
      </c>
      <c r="H105" s="376">
        <v>0.18</v>
      </c>
      <c r="I105" s="376">
        <v>6331.05</v>
      </c>
      <c r="J105" s="308">
        <f t="shared" si="3"/>
        <v>633105</v>
      </c>
      <c r="K105" s="308">
        <f t="shared" si="4"/>
        <v>794.70719999999994</v>
      </c>
    </row>
    <row r="106" spans="1:11" x14ac:dyDescent="0.25">
      <c r="A106" s="372" t="s">
        <v>706</v>
      </c>
      <c r="B106" s="369">
        <v>170264</v>
      </c>
      <c r="C106" s="307">
        <f t="shared" si="0"/>
        <v>1995.0246217599999</v>
      </c>
      <c r="D106" s="291">
        <f t="shared" si="1"/>
        <v>7254767.4346932005</v>
      </c>
      <c r="E106" s="291">
        <f t="shared" si="2"/>
        <v>16722.310023056878</v>
      </c>
      <c r="F106" s="376">
        <v>4398.28</v>
      </c>
      <c r="G106" s="376">
        <v>143.16999999999999</v>
      </c>
      <c r="H106" s="376">
        <v>0.33</v>
      </c>
      <c r="I106" s="376">
        <v>6296.86</v>
      </c>
      <c r="J106" s="308">
        <f t="shared" si="3"/>
        <v>629686</v>
      </c>
      <c r="K106" s="308">
        <f t="shared" si="4"/>
        <v>1451.4323999999999</v>
      </c>
    </row>
    <row r="107" spans="1:11" x14ac:dyDescent="0.25">
      <c r="A107" s="372" t="s">
        <v>707</v>
      </c>
      <c r="B107" s="369">
        <v>170265</v>
      </c>
      <c r="C107" s="307">
        <f t="shared" si="0"/>
        <v>1988.2298136000002</v>
      </c>
      <c r="D107" s="291">
        <f t="shared" si="1"/>
        <v>7242094.0638731997</v>
      </c>
      <c r="E107" s="291">
        <f t="shared" si="2"/>
        <v>15150.323540538</v>
      </c>
      <c r="F107" s="376">
        <v>4383.3</v>
      </c>
      <c r="G107" s="376">
        <v>143.4</v>
      </c>
      <c r="H107" s="376">
        <v>0.3</v>
      </c>
      <c r="I107" s="376">
        <v>6285.86</v>
      </c>
      <c r="J107" s="308">
        <f t="shared" si="3"/>
        <v>628586</v>
      </c>
      <c r="K107" s="308">
        <f t="shared" si="4"/>
        <v>1314.99</v>
      </c>
    </row>
    <row r="108" spans="1:11" x14ac:dyDescent="0.25">
      <c r="A108" s="373" t="s">
        <v>708</v>
      </c>
      <c r="B108" s="369">
        <v>170169</v>
      </c>
      <c r="C108" s="307">
        <f t="shared" si="0"/>
        <v>1987.12758504</v>
      </c>
      <c r="D108" s="291">
        <f t="shared" si="1"/>
        <v>7250642.8285536002</v>
      </c>
      <c r="E108" s="291">
        <f t="shared" si="2"/>
        <v>-7570.9622760291004</v>
      </c>
      <c r="F108" s="376">
        <v>4380.87</v>
      </c>
      <c r="G108" s="376">
        <v>143.65</v>
      </c>
      <c r="H108" s="376">
        <v>-0.15</v>
      </c>
      <c r="I108" s="376">
        <v>6293.28</v>
      </c>
      <c r="J108" s="308">
        <f t="shared" si="3"/>
        <v>629328</v>
      </c>
      <c r="K108" s="308">
        <f t="shared" si="4"/>
        <v>-657.13049999999998</v>
      </c>
    </row>
    <row r="109" spans="1:11" x14ac:dyDescent="0.25">
      <c r="A109" s="372" t="s">
        <v>709</v>
      </c>
      <c r="B109" s="369">
        <v>170205</v>
      </c>
      <c r="C109" s="307">
        <f t="shared" si="0"/>
        <v>1988.6697978400002</v>
      </c>
      <c r="D109" s="291">
        <f t="shared" si="1"/>
        <v>7228360.7384027997</v>
      </c>
      <c r="E109" s="291">
        <f t="shared" si="2"/>
        <v>-10102.450815454802</v>
      </c>
      <c r="F109" s="376">
        <v>4384.2700000000004</v>
      </c>
      <c r="G109" s="376">
        <v>143.1</v>
      </c>
      <c r="H109" s="376">
        <v>-0.2</v>
      </c>
      <c r="I109" s="376">
        <v>6273.94</v>
      </c>
      <c r="J109" s="308">
        <f t="shared" si="3"/>
        <v>627394</v>
      </c>
      <c r="K109" s="308">
        <f t="shared" si="4"/>
        <v>-876.85400000000016</v>
      </c>
    </row>
    <row r="110" spans="1:11" x14ac:dyDescent="0.25">
      <c r="A110" s="372" t="s">
        <v>710</v>
      </c>
      <c r="B110" s="369">
        <v>170241</v>
      </c>
      <c r="C110" s="307">
        <f t="shared" si="0"/>
        <v>1992.8609879200001</v>
      </c>
      <c r="D110" s="291">
        <f t="shared" si="1"/>
        <v>7237762.0753020002</v>
      </c>
      <c r="E110" s="291">
        <f t="shared" si="2"/>
        <v>15185.613117648601</v>
      </c>
      <c r="F110" s="376">
        <v>4393.51</v>
      </c>
      <c r="G110" s="376">
        <v>142.99</v>
      </c>
      <c r="H110" s="376">
        <v>0.3</v>
      </c>
      <c r="I110" s="376">
        <v>6282.1</v>
      </c>
      <c r="J110" s="308">
        <f t="shared" si="3"/>
        <v>628210</v>
      </c>
      <c r="K110" s="308">
        <f t="shared" si="4"/>
        <v>1318.0530000000001</v>
      </c>
    </row>
    <row r="111" spans="1:11" x14ac:dyDescent="0.25">
      <c r="A111" s="372" t="s">
        <v>711</v>
      </c>
      <c r="B111" s="369">
        <v>170266</v>
      </c>
      <c r="C111" s="307">
        <f t="shared" si="0"/>
        <v>2004.6226284799998</v>
      </c>
      <c r="D111" s="291">
        <f t="shared" si="1"/>
        <v>7300403.0908914004</v>
      </c>
      <c r="E111" s="291">
        <f t="shared" si="2"/>
        <v>0</v>
      </c>
      <c r="F111" s="376">
        <v>4419.4399999999996</v>
      </c>
      <c r="G111" s="376">
        <v>143.38</v>
      </c>
      <c r="H111" s="376">
        <v>0</v>
      </c>
      <c r="I111" s="376">
        <v>6336.47</v>
      </c>
      <c r="J111" s="308">
        <f t="shared" si="3"/>
        <v>633647</v>
      </c>
      <c r="K111" s="308">
        <f t="shared" si="4"/>
        <v>0</v>
      </c>
    </row>
    <row r="112" spans="1:11" x14ac:dyDescent="0.25">
      <c r="A112" s="372" t="s">
        <v>712</v>
      </c>
      <c r="B112" s="369">
        <v>170267</v>
      </c>
      <c r="C112" s="307">
        <f t="shared" si="0"/>
        <v>0</v>
      </c>
      <c r="D112" s="291">
        <f t="shared" si="1"/>
        <v>0</v>
      </c>
      <c r="E112" s="291">
        <f t="shared" si="2"/>
        <v>0</v>
      </c>
      <c r="F112" s="376"/>
      <c r="G112" s="376"/>
      <c r="H112" s="376"/>
      <c r="I112" s="376"/>
      <c r="J112" s="308">
        <f t="shared" si="3"/>
        <v>0</v>
      </c>
      <c r="K112" s="308">
        <f t="shared" si="4"/>
        <v>0</v>
      </c>
    </row>
    <row r="113" spans="1:11" x14ac:dyDescent="0.25">
      <c r="A113" s="372" t="s">
        <v>713</v>
      </c>
      <c r="B113" s="369">
        <v>170138</v>
      </c>
      <c r="C113" s="307">
        <f t="shared" si="0"/>
        <v>1988.6289745600002</v>
      </c>
      <c r="D113" s="291">
        <f t="shared" si="1"/>
        <v>7265436.1086744005</v>
      </c>
      <c r="E113" s="291">
        <f t="shared" si="2"/>
        <v>-1010.2243433023201</v>
      </c>
      <c r="F113" s="376">
        <v>4384.18</v>
      </c>
      <c r="G113" s="376">
        <v>143.84</v>
      </c>
      <c r="H113" s="376">
        <v>-0.02</v>
      </c>
      <c r="I113" s="376">
        <v>6306.12</v>
      </c>
      <c r="J113" s="308">
        <f t="shared" si="3"/>
        <v>630612</v>
      </c>
      <c r="K113" s="308">
        <f t="shared" si="4"/>
        <v>-87.683600000000013</v>
      </c>
    </row>
    <row r="114" spans="1:11" x14ac:dyDescent="0.25">
      <c r="A114" s="372" t="s">
        <v>714</v>
      </c>
      <c r="B114" s="369">
        <v>170139</v>
      </c>
      <c r="C114" s="307">
        <f t="shared" si="0"/>
        <v>1998.1271910399998</v>
      </c>
      <c r="D114" s="291">
        <f t="shared" si="1"/>
        <v>7302569.0851769997</v>
      </c>
      <c r="E114" s="291">
        <f t="shared" si="2"/>
        <v>2537.6236030272003</v>
      </c>
      <c r="F114" s="376">
        <v>4405.12</v>
      </c>
      <c r="G114" s="376">
        <v>143.88999999999999</v>
      </c>
      <c r="H114" s="376">
        <v>0.05</v>
      </c>
      <c r="I114" s="376">
        <v>6338.35</v>
      </c>
      <c r="J114" s="308">
        <f t="shared" si="3"/>
        <v>633835</v>
      </c>
      <c r="K114" s="308">
        <f t="shared" si="4"/>
        <v>220.256</v>
      </c>
    </row>
    <row r="115" spans="1:11" x14ac:dyDescent="0.25">
      <c r="A115" s="372" t="s">
        <v>715</v>
      </c>
      <c r="B115" s="369">
        <v>170140</v>
      </c>
      <c r="C115" s="307">
        <f t="shared" si="0"/>
        <v>1996.6258015200001</v>
      </c>
      <c r="D115" s="291">
        <f t="shared" si="1"/>
        <v>7299896.1560586002</v>
      </c>
      <c r="E115" s="291">
        <f t="shared" si="2"/>
        <v>-5071.433673562201</v>
      </c>
      <c r="F115" s="376">
        <v>4401.8100000000004</v>
      </c>
      <c r="G115" s="376">
        <v>143.94</v>
      </c>
      <c r="H115" s="376">
        <v>-0.1</v>
      </c>
      <c r="I115" s="376">
        <v>6336.03</v>
      </c>
      <c r="J115" s="308">
        <f t="shared" si="3"/>
        <v>633603</v>
      </c>
      <c r="K115" s="308">
        <f t="shared" si="4"/>
        <v>-440.18100000000004</v>
      </c>
    </row>
    <row r="116" spans="1:11" x14ac:dyDescent="0.25">
      <c r="A116" s="372" t="s">
        <v>716</v>
      </c>
      <c r="B116" s="369">
        <v>170141</v>
      </c>
      <c r="C116" s="307">
        <f t="shared" si="0"/>
        <v>1987.12758504</v>
      </c>
      <c r="D116" s="291">
        <f t="shared" si="1"/>
        <v>7229167.2256367998</v>
      </c>
      <c r="E116" s="291">
        <f t="shared" si="2"/>
        <v>16151.386188862081</v>
      </c>
      <c r="F116" s="376">
        <v>4380.87</v>
      </c>
      <c r="G116" s="376">
        <v>143.22999999999999</v>
      </c>
      <c r="H116" s="376">
        <v>0.32</v>
      </c>
      <c r="I116" s="376">
        <v>6274.64</v>
      </c>
      <c r="J116" s="308">
        <f t="shared" si="3"/>
        <v>627464</v>
      </c>
      <c r="K116" s="308">
        <f t="shared" si="4"/>
        <v>1401.8784000000001</v>
      </c>
    </row>
    <row r="117" spans="1:11" x14ac:dyDescent="0.25">
      <c r="A117" s="372" t="s">
        <v>717</v>
      </c>
      <c r="B117" s="369">
        <v>170142</v>
      </c>
      <c r="C117" s="307">
        <f t="shared" si="0"/>
        <v>1979.2260123999999</v>
      </c>
      <c r="D117" s="291">
        <f t="shared" si="1"/>
        <v>7226862.9763968</v>
      </c>
      <c r="E117" s="291">
        <f t="shared" si="2"/>
        <v>-102052.93491472169</v>
      </c>
      <c r="F117" s="376">
        <v>4363.45</v>
      </c>
      <c r="G117" s="376">
        <v>143.75</v>
      </c>
      <c r="H117" s="376">
        <v>-2.0299999999999998</v>
      </c>
      <c r="I117" s="376">
        <v>6272.64</v>
      </c>
      <c r="J117" s="308">
        <f t="shared" si="3"/>
        <v>627264</v>
      </c>
      <c r="K117" s="308">
        <f t="shared" si="4"/>
        <v>-8857.8034999999982</v>
      </c>
    </row>
    <row r="118" spans="1:11" x14ac:dyDescent="0.25">
      <c r="A118" s="373" t="s">
        <v>718</v>
      </c>
      <c r="B118" s="369">
        <v>170143</v>
      </c>
      <c r="C118" s="307">
        <f t="shared" si="0"/>
        <v>1980.62761168</v>
      </c>
      <c r="D118" s="291">
        <f t="shared" si="1"/>
        <v>7239040.9336302001</v>
      </c>
      <c r="E118" s="291">
        <f t="shared" si="2"/>
        <v>14589.31489082292</v>
      </c>
      <c r="F118" s="376">
        <v>4366.54</v>
      </c>
      <c r="G118" s="376">
        <v>143.88999999999999</v>
      </c>
      <c r="H118" s="376">
        <v>0.28999999999999998</v>
      </c>
      <c r="I118" s="376">
        <v>6283.21</v>
      </c>
      <c r="J118" s="308">
        <f t="shared" si="3"/>
        <v>628321</v>
      </c>
      <c r="K118" s="308">
        <f t="shared" si="4"/>
        <v>1266.2965999999999</v>
      </c>
    </row>
    <row r="119" spans="1:11" x14ac:dyDescent="0.25">
      <c r="A119" s="372" t="s">
        <v>719</v>
      </c>
      <c r="B119" s="369">
        <v>170144</v>
      </c>
      <c r="C119" s="307">
        <f t="shared" si="0"/>
        <v>1980.1286604799998</v>
      </c>
      <c r="D119" s="291">
        <f t="shared" si="1"/>
        <v>7236817.3331136005</v>
      </c>
      <c r="E119" s="291">
        <f t="shared" si="2"/>
        <v>-100590.618022656</v>
      </c>
      <c r="F119" s="376">
        <v>4365.4399999999996</v>
      </c>
      <c r="G119" s="376">
        <v>143.88999999999999</v>
      </c>
      <c r="H119" s="376">
        <v>-2</v>
      </c>
      <c r="I119" s="376">
        <v>6281.28</v>
      </c>
      <c r="J119" s="308">
        <f t="shared" si="3"/>
        <v>628128</v>
      </c>
      <c r="K119" s="308">
        <f t="shared" si="4"/>
        <v>-8730.8799999999992</v>
      </c>
    </row>
    <row r="120" spans="1:11" x14ac:dyDescent="0.25">
      <c r="A120" s="372" t="s">
        <v>720</v>
      </c>
      <c r="B120" s="369">
        <v>170145</v>
      </c>
      <c r="C120" s="307">
        <f t="shared" si="0"/>
        <v>1987.12758504</v>
      </c>
      <c r="D120" s="291">
        <f t="shared" si="1"/>
        <v>7264099.6441152003</v>
      </c>
      <c r="E120" s="291">
        <f t="shared" si="2"/>
        <v>25236.540920096999</v>
      </c>
      <c r="F120" s="376">
        <v>4380.87</v>
      </c>
      <c r="G120" s="376">
        <v>143.91999999999999</v>
      </c>
      <c r="H120" s="376">
        <v>0.5</v>
      </c>
      <c r="I120" s="376">
        <v>6304.96</v>
      </c>
      <c r="J120" s="308">
        <f t="shared" si="3"/>
        <v>630496</v>
      </c>
      <c r="K120" s="308">
        <f t="shared" si="4"/>
        <v>2190.4349999999999</v>
      </c>
    </row>
    <row r="121" spans="1:11" x14ac:dyDescent="0.25">
      <c r="A121" s="372" t="s">
        <v>721</v>
      </c>
      <c r="B121" s="369">
        <v>170146</v>
      </c>
      <c r="C121" s="307">
        <f t="shared" si="0"/>
        <v>0</v>
      </c>
      <c r="D121" s="291">
        <f t="shared" si="1"/>
        <v>0</v>
      </c>
      <c r="E121" s="291">
        <f t="shared" si="2"/>
        <v>0</v>
      </c>
      <c r="F121" s="376"/>
      <c r="G121" s="376"/>
      <c r="H121" s="376"/>
      <c r="I121" s="376"/>
      <c r="J121" s="308">
        <f t="shared" si="3"/>
        <v>0</v>
      </c>
      <c r="K121" s="308">
        <f t="shared" si="4"/>
        <v>0</v>
      </c>
    </row>
    <row r="122" spans="1:11" x14ac:dyDescent="0.25">
      <c r="A122" s="372" t="s">
        <v>722</v>
      </c>
      <c r="B122" s="369">
        <v>170147</v>
      </c>
      <c r="C122" s="307">
        <f t="shared" si="0"/>
        <v>2007.6254075200002</v>
      </c>
      <c r="D122" s="291">
        <f t="shared" si="1"/>
        <v>7311152.4135960005</v>
      </c>
      <c r="E122" s="291">
        <f t="shared" si="2"/>
        <v>8668.9335825152411</v>
      </c>
      <c r="F122" s="376">
        <v>4426.0600000000004</v>
      </c>
      <c r="G122" s="376">
        <v>143.37</v>
      </c>
      <c r="H122" s="376">
        <v>0.17</v>
      </c>
      <c r="I122" s="376">
        <v>6345.8</v>
      </c>
      <c r="J122" s="308">
        <f t="shared" si="3"/>
        <v>634580</v>
      </c>
      <c r="K122" s="308">
        <f t="shared" si="4"/>
        <v>752.43020000000013</v>
      </c>
    </row>
    <row r="123" spans="1:11" x14ac:dyDescent="0.25">
      <c r="A123" s="372" t="s">
        <v>723</v>
      </c>
      <c r="B123" s="369">
        <v>170148</v>
      </c>
      <c r="C123" s="307">
        <f t="shared" si="0"/>
        <v>2046.1262964799998</v>
      </c>
      <c r="D123" s="291">
        <f t="shared" si="1"/>
        <v>7398909.7459014002</v>
      </c>
      <c r="E123" s="291">
        <f t="shared" si="2"/>
        <v>57168.815366770796</v>
      </c>
      <c r="F123" s="376">
        <v>4510.9399999999996</v>
      </c>
      <c r="G123" s="376">
        <v>142.36000000000001</v>
      </c>
      <c r="H123" s="376">
        <v>1.1000000000000001</v>
      </c>
      <c r="I123" s="376">
        <v>6421.97</v>
      </c>
      <c r="J123" s="308">
        <f t="shared" si="3"/>
        <v>642197</v>
      </c>
      <c r="K123" s="308">
        <f t="shared" si="4"/>
        <v>4962.0339999999997</v>
      </c>
    </row>
    <row r="124" spans="1:11" x14ac:dyDescent="0.25">
      <c r="A124" s="372" t="s">
        <v>724</v>
      </c>
      <c r="B124" s="369">
        <v>170149</v>
      </c>
      <c r="C124" s="307">
        <f t="shared" si="0"/>
        <v>2003.1076312000002</v>
      </c>
      <c r="D124" s="291">
        <f t="shared" si="1"/>
        <v>7276922.7911358001</v>
      </c>
      <c r="E124" s="291">
        <f t="shared" si="2"/>
        <v>10175.795068764002</v>
      </c>
      <c r="F124" s="376">
        <v>4416.1000000000004</v>
      </c>
      <c r="G124" s="376">
        <v>143.02000000000001</v>
      </c>
      <c r="H124" s="376">
        <v>0.2</v>
      </c>
      <c r="I124" s="376">
        <v>6316.09</v>
      </c>
      <c r="J124" s="308">
        <f t="shared" si="3"/>
        <v>631609</v>
      </c>
      <c r="K124" s="308">
        <f t="shared" si="4"/>
        <v>883.22000000000014</v>
      </c>
    </row>
    <row r="125" spans="1:11" x14ac:dyDescent="0.25">
      <c r="A125" s="372" t="s">
        <v>725</v>
      </c>
      <c r="B125" s="369">
        <v>170150</v>
      </c>
      <c r="C125" s="307">
        <f t="shared" si="0"/>
        <v>1994.25805128</v>
      </c>
      <c r="D125" s="291">
        <f t="shared" si="1"/>
        <v>7248868.5566388005</v>
      </c>
      <c r="E125" s="291">
        <f t="shared" si="2"/>
        <v>18235.510498964883</v>
      </c>
      <c r="F125" s="376">
        <v>4396.59</v>
      </c>
      <c r="G125" s="376">
        <v>143.1</v>
      </c>
      <c r="H125" s="376">
        <v>0.36</v>
      </c>
      <c r="I125" s="376">
        <v>6291.74</v>
      </c>
      <c r="J125" s="308">
        <f t="shared" si="3"/>
        <v>629174</v>
      </c>
      <c r="K125" s="308">
        <f t="shared" si="4"/>
        <v>1582.7724000000001</v>
      </c>
    </row>
    <row r="126" spans="1:11" x14ac:dyDescent="0.25">
      <c r="A126" s="372" t="s">
        <v>726</v>
      </c>
      <c r="B126" s="369">
        <v>170151</v>
      </c>
      <c r="C126" s="307">
        <f t="shared" si="0"/>
        <v>2002.1051928800002</v>
      </c>
      <c r="D126" s="291">
        <f t="shared" si="1"/>
        <v>7264376.1540240003</v>
      </c>
      <c r="E126" s="291">
        <f t="shared" si="2"/>
        <v>11187.772945737961</v>
      </c>
      <c r="F126" s="376">
        <v>4413.8900000000003</v>
      </c>
      <c r="G126" s="376">
        <v>142.85</v>
      </c>
      <c r="H126" s="376">
        <v>0.22</v>
      </c>
      <c r="I126" s="376">
        <v>6305.2</v>
      </c>
      <c r="J126" s="308">
        <f t="shared" si="3"/>
        <v>630520</v>
      </c>
      <c r="K126" s="308">
        <f t="shared" si="4"/>
        <v>971.05580000000009</v>
      </c>
    </row>
    <row r="127" spans="1:11" x14ac:dyDescent="0.25">
      <c r="A127" s="372" t="s">
        <v>727</v>
      </c>
      <c r="B127" s="369">
        <v>170152</v>
      </c>
      <c r="C127" s="307">
        <f t="shared" si="0"/>
        <v>1980.62761168</v>
      </c>
      <c r="D127" s="291">
        <f t="shared" si="1"/>
        <v>7240469.568159</v>
      </c>
      <c r="E127" s="291">
        <f t="shared" si="2"/>
        <v>-7546.1973573222003</v>
      </c>
      <c r="F127" s="376">
        <v>4366.54</v>
      </c>
      <c r="G127" s="376">
        <v>143.91999999999999</v>
      </c>
      <c r="H127" s="376">
        <v>-0.15</v>
      </c>
      <c r="I127" s="376">
        <v>6284.45</v>
      </c>
      <c r="J127" s="308">
        <f t="shared" si="3"/>
        <v>628445</v>
      </c>
      <c r="K127" s="308">
        <f t="shared" si="4"/>
        <v>-654.98099999999999</v>
      </c>
    </row>
    <row r="128" spans="1:11" x14ac:dyDescent="0.25">
      <c r="A128" s="372" t="s">
        <v>728</v>
      </c>
      <c r="B128" s="369">
        <v>170153</v>
      </c>
      <c r="C128" s="307">
        <f t="shared" si="0"/>
        <v>1980.62761168</v>
      </c>
      <c r="D128" s="291">
        <f t="shared" si="1"/>
        <v>7225641.7242996003</v>
      </c>
      <c r="E128" s="291">
        <f t="shared" si="2"/>
        <v>-1509.2394714644399</v>
      </c>
      <c r="F128" s="376">
        <v>4366.54</v>
      </c>
      <c r="G128" s="376">
        <v>143.63</v>
      </c>
      <c r="H128" s="376">
        <v>-0.03</v>
      </c>
      <c r="I128" s="376">
        <v>6271.58</v>
      </c>
      <c r="J128" s="308">
        <f t="shared" si="3"/>
        <v>627158</v>
      </c>
      <c r="K128" s="308">
        <f t="shared" si="4"/>
        <v>-130.99619999999999</v>
      </c>
    </row>
    <row r="129" spans="1:11" x14ac:dyDescent="0.25">
      <c r="A129" s="372" t="s">
        <v>729</v>
      </c>
      <c r="B129" s="369">
        <v>170154</v>
      </c>
      <c r="C129" s="307">
        <f t="shared" si="0"/>
        <v>1980.62761168</v>
      </c>
      <c r="D129" s="291">
        <f t="shared" si="1"/>
        <v>7225595.6393148005</v>
      </c>
      <c r="E129" s="291">
        <f t="shared" si="2"/>
        <v>2012.3192952859199</v>
      </c>
      <c r="F129" s="376">
        <v>4366.54</v>
      </c>
      <c r="G129" s="376">
        <v>143.63</v>
      </c>
      <c r="H129" s="376">
        <v>0.04</v>
      </c>
      <c r="I129" s="376">
        <v>6271.54</v>
      </c>
      <c r="J129" s="308">
        <f t="shared" si="3"/>
        <v>627154</v>
      </c>
      <c r="K129" s="308">
        <f t="shared" si="4"/>
        <v>174.66159999999999</v>
      </c>
    </row>
    <row r="130" spans="1:11" x14ac:dyDescent="0.25">
      <c r="A130" s="372" t="s">
        <v>730</v>
      </c>
      <c r="B130" s="369">
        <v>170155</v>
      </c>
      <c r="C130" s="307">
        <f t="shared" si="0"/>
        <v>1985.12724432</v>
      </c>
      <c r="D130" s="291">
        <f t="shared" si="1"/>
        <v>7253799.6500124</v>
      </c>
      <c r="E130" s="291">
        <f t="shared" si="2"/>
        <v>2016.8909257780801</v>
      </c>
      <c r="F130" s="376">
        <v>4376.46</v>
      </c>
      <c r="G130" s="376">
        <v>143.86000000000001</v>
      </c>
      <c r="H130" s="376">
        <v>0.04</v>
      </c>
      <c r="I130" s="376">
        <v>6296.02</v>
      </c>
      <c r="J130" s="308">
        <f t="shared" si="3"/>
        <v>629602</v>
      </c>
      <c r="K130" s="308">
        <f t="shared" si="4"/>
        <v>175.05840000000001</v>
      </c>
    </row>
    <row r="131" spans="1:11" x14ac:dyDescent="0.25">
      <c r="A131" s="372" t="s">
        <v>731</v>
      </c>
      <c r="B131" s="369">
        <v>170156</v>
      </c>
      <c r="C131" s="307">
        <f t="shared" si="0"/>
        <v>1976.1688023199999</v>
      </c>
      <c r="D131" s="291">
        <f t="shared" si="1"/>
        <v>7195283.2405626001</v>
      </c>
      <c r="E131" s="291">
        <f t="shared" si="2"/>
        <v>12046.73484768048</v>
      </c>
      <c r="F131" s="376">
        <v>4356.71</v>
      </c>
      <c r="G131" s="376">
        <v>143.35</v>
      </c>
      <c r="H131" s="376">
        <v>0.24</v>
      </c>
      <c r="I131" s="376">
        <v>6245.23</v>
      </c>
      <c r="J131" s="308">
        <f t="shared" si="3"/>
        <v>624523</v>
      </c>
      <c r="K131" s="308">
        <f t="shared" si="4"/>
        <v>1045.6104</v>
      </c>
    </row>
    <row r="132" spans="1:11" x14ac:dyDescent="0.25">
      <c r="A132" s="373" t="s">
        <v>732</v>
      </c>
      <c r="B132" s="369">
        <v>170157</v>
      </c>
      <c r="C132" s="307">
        <f t="shared" si="0"/>
        <v>1983.4489539200001</v>
      </c>
      <c r="D132" s="291">
        <f t="shared" si="1"/>
        <v>7226033.4466704</v>
      </c>
      <c r="E132" s="291">
        <f t="shared" si="2"/>
        <v>27708.804493431606</v>
      </c>
      <c r="F132" s="376">
        <v>4372.76</v>
      </c>
      <c r="G132" s="376">
        <v>143.43</v>
      </c>
      <c r="H132" s="376">
        <v>0.55000000000000004</v>
      </c>
      <c r="I132" s="376">
        <v>6271.92</v>
      </c>
      <c r="J132" s="308">
        <f t="shared" si="3"/>
        <v>627192</v>
      </c>
      <c r="K132" s="308">
        <f t="shared" si="4"/>
        <v>2405.0180000000005</v>
      </c>
    </row>
    <row r="133" spans="1:11" x14ac:dyDescent="0.25">
      <c r="A133" s="372" t="s">
        <v>733</v>
      </c>
      <c r="B133" s="369">
        <v>170158</v>
      </c>
      <c r="C133" s="307">
        <f t="shared" ref="C133:C196" si="5">F133*$B$239</f>
        <v>1983.671214</v>
      </c>
      <c r="D133" s="291">
        <f t="shared" ref="D133:E196" si="6">J133*$B$241</f>
        <v>7222116.2229623999</v>
      </c>
      <c r="E133" s="291">
        <f t="shared" si="6"/>
        <v>6046.2347932980001</v>
      </c>
      <c r="F133" s="376">
        <v>4373.25</v>
      </c>
      <c r="G133" s="376">
        <v>143.34</v>
      </c>
      <c r="H133" s="376">
        <v>0.12</v>
      </c>
      <c r="I133" s="376">
        <v>6268.52</v>
      </c>
      <c r="J133" s="308">
        <f t="shared" si="3"/>
        <v>626852</v>
      </c>
      <c r="K133" s="308">
        <f t="shared" si="4"/>
        <v>524.79</v>
      </c>
    </row>
    <row r="134" spans="1:11" x14ac:dyDescent="0.25">
      <c r="A134" s="372" t="s">
        <v>734</v>
      </c>
      <c r="B134" s="369">
        <v>170159</v>
      </c>
      <c r="C134" s="307">
        <f t="shared" si="5"/>
        <v>1990.9604374399999</v>
      </c>
      <c r="D134" s="291">
        <f t="shared" si="6"/>
        <v>7273639.2359688003</v>
      </c>
      <c r="E134" s="291">
        <f t="shared" si="6"/>
        <v>-22250.992003056959</v>
      </c>
      <c r="F134" s="376">
        <v>4389.32</v>
      </c>
      <c r="G134" s="376">
        <v>143.83000000000001</v>
      </c>
      <c r="H134" s="376">
        <v>-0.44</v>
      </c>
      <c r="I134" s="376">
        <v>6313.24</v>
      </c>
      <c r="J134" s="308">
        <f t="shared" ref="J134:J197" si="7">I134*100</f>
        <v>631324</v>
      </c>
      <c r="K134" s="308">
        <f t="shared" ref="K134:K197" si="8">F134*H134</f>
        <v>-1931.3008</v>
      </c>
    </row>
    <row r="135" spans="1:11" x14ac:dyDescent="0.25">
      <c r="A135" s="372" t="s">
        <v>735</v>
      </c>
      <c r="B135" s="369">
        <v>170160</v>
      </c>
      <c r="C135" s="307">
        <f t="shared" si="5"/>
        <v>2049.6779218400002</v>
      </c>
      <c r="D135" s="291">
        <f t="shared" si="6"/>
        <v>7416675.5075417999</v>
      </c>
      <c r="E135" s="291">
        <f t="shared" si="6"/>
        <v>51020.624457350525</v>
      </c>
      <c r="F135" s="376">
        <v>4518.7700000000004</v>
      </c>
      <c r="G135" s="376">
        <v>142.46</v>
      </c>
      <c r="H135" s="376">
        <v>0.98</v>
      </c>
      <c r="I135" s="376">
        <v>6437.39</v>
      </c>
      <c r="J135" s="308">
        <f t="shared" si="7"/>
        <v>643739</v>
      </c>
      <c r="K135" s="308">
        <f t="shared" si="8"/>
        <v>4428.3946000000005</v>
      </c>
    </row>
    <row r="136" spans="1:11" x14ac:dyDescent="0.25">
      <c r="A136" s="372" t="s">
        <v>736</v>
      </c>
      <c r="B136" s="369">
        <v>170170</v>
      </c>
      <c r="C136" s="307">
        <f t="shared" si="5"/>
        <v>1987.1457287199999</v>
      </c>
      <c r="D136" s="291">
        <f t="shared" si="6"/>
        <v>7263396.8480970003</v>
      </c>
      <c r="E136" s="291">
        <f t="shared" si="6"/>
        <v>-6056.8251228050403</v>
      </c>
      <c r="F136" s="376">
        <v>4380.91</v>
      </c>
      <c r="G136" s="376">
        <v>143.9</v>
      </c>
      <c r="H136" s="376">
        <v>-0.12</v>
      </c>
      <c r="I136" s="376">
        <v>6304.35</v>
      </c>
      <c r="J136" s="308">
        <f t="shared" si="7"/>
        <v>630435</v>
      </c>
      <c r="K136" s="308">
        <f t="shared" si="8"/>
        <v>-525.70920000000001</v>
      </c>
    </row>
    <row r="137" spans="1:11" x14ac:dyDescent="0.25">
      <c r="A137" s="373" t="s">
        <v>737</v>
      </c>
      <c r="B137" s="369">
        <v>170171</v>
      </c>
      <c r="C137" s="307">
        <f t="shared" si="5"/>
        <v>1989.1279257599999</v>
      </c>
      <c r="D137" s="291">
        <f t="shared" si="6"/>
        <v>7153795.2329964004</v>
      </c>
      <c r="E137" s="291">
        <f t="shared" si="6"/>
        <v>1010.4778107187199</v>
      </c>
      <c r="F137" s="376">
        <v>4385.28</v>
      </c>
      <c r="G137" s="376">
        <v>143.87</v>
      </c>
      <c r="H137" s="376">
        <v>0.02</v>
      </c>
      <c r="I137" s="376">
        <v>6209.22</v>
      </c>
      <c r="J137" s="308">
        <f t="shared" si="7"/>
        <v>620922</v>
      </c>
      <c r="K137" s="308">
        <f t="shared" si="8"/>
        <v>87.70559999999999</v>
      </c>
    </row>
    <row r="138" spans="1:11" x14ac:dyDescent="0.25">
      <c r="A138" s="372" t="s">
        <v>738</v>
      </c>
      <c r="B138" s="369">
        <v>170172</v>
      </c>
      <c r="C138" s="307">
        <f t="shared" si="5"/>
        <v>1988.13002336</v>
      </c>
      <c r="D138" s="291">
        <f t="shared" si="6"/>
        <v>7244363.7493746001</v>
      </c>
      <c r="E138" s="291">
        <f t="shared" si="6"/>
        <v>1514.95631382888</v>
      </c>
      <c r="F138" s="376">
        <v>4383.08</v>
      </c>
      <c r="G138" s="376">
        <v>143.46</v>
      </c>
      <c r="H138" s="376">
        <v>0.03</v>
      </c>
      <c r="I138" s="376">
        <v>6287.83</v>
      </c>
      <c r="J138" s="308">
        <f t="shared" si="7"/>
        <v>628783</v>
      </c>
      <c r="K138" s="308">
        <f t="shared" si="8"/>
        <v>131.4924</v>
      </c>
    </row>
    <row r="139" spans="1:11" x14ac:dyDescent="0.25">
      <c r="A139" s="372" t="s">
        <v>739</v>
      </c>
      <c r="B139" s="369">
        <v>170173</v>
      </c>
      <c r="C139" s="307">
        <f t="shared" si="5"/>
        <v>1975.13007664</v>
      </c>
      <c r="D139" s="291">
        <f t="shared" si="6"/>
        <v>7211735.5801362004</v>
      </c>
      <c r="E139" s="291">
        <f t="shared" si="6"/>
        <v>-10535.352424422839</v>
      </c>
      <c r="F139" s="376">
        <v>4354.42</v>
      </c>
      <c r="G139" s="376">
        <v>143.75</v>
      </c>
      <c r="H139" s="376">
        <v>-0.21</v>
      </c>
      <c r="I139" s="376">
        <v>6259.51</v>
      </c>
      <c r="J139" s="308">
        <f t="shared" si="7"/>
        <v>625951</v>
      </c>
      <c r="K139" s="308">
        <f t="shared" si="8"/>
        <v>-914.42819999999995</v>
      </c>
    </row>
    <row r="140" spans="1:11" x14ac:dyDescent="0.25">
      <c r="A140" s="372" t="s">
        <v>740</v>
      </c>
      <c r="B140" s="369">
        <v>170174</v>
      </c>
      <c r="C140" s="307">
        <f t="shared" si="5"/>
        <v>1987.9984816799999</v>
      </c>
      <c r="D140" s="291">
        <f t="shared" si="6"/>
        <v>7257186.8963951999</v>
      </c>
      <c r="E140" s="291">
        <f t="shared" si="6"/>
        <v>-3534.6641843028606</v>
      </c>
      <c r="F140" s="376">
        <v>4382.79</v>
      </c>
      <c r="G140" s="376">
        <v>143.72</v>
      </c>
      <c r="H140" s="376">
        <v>-7.0000000000000007E-2</v>
      </c>
      <c r="I140" s="376">
        <v>6298.96</v>
      </c>
      <c r="J140" s="308">
        <f t="shared" si="7"/>
        <v>629896</v>
      </c>
      <c r="K140" s="308">
        <f t="shared" si="8"/>
        <v>-306.79530000000005</v>
      </c>
    </row>
    <row r="141" spans="1:11" x14ac:dyDescent="0.25">
      <c r="A141" s="372" t="s">
        <v>741</v>
      </c>
      <c r="B141" s="369">
        <v>170175</v>
      </c>
      <c r="C141" s="307">
        <f t="shared" si="5"/>
        <v>1985.12724432</v>
      </c>
      <c r="D141" s="291">
        <f t="shared" si="6"/>
        <v>7251115.1996478001</v>
      </c>
      <c r="E141" s="291">
        <f t="shared" si="6"/>
        <v>-7059.1182402232807</v>
      </c>
      <c r="F141" s="376">
        <v>4376.46</v>
      </c>
      <c r="G141" s="376">
        <v>143.81</v>
      </c>
      <c r="H141" s="376">
        <v>-0.14000000000000001</v>
      </c>
      <c r="I141" s="376">
        <v>6293.69</v>
      </c>
      <c r="J141" s="308">
        <f t="shared" si="7"/>
        <v>629369</v>
      </c>
      <c r="K141" s="308">
        <f t="shared" si="8"/>
        <v>-612.70440000000008</v>
      </c>
    </row>
    <row r="142" spans="1:11" x14ac:dyDescent="0.25">
      <c r="A142" s="373" t="s">
        <v>742</v>
      </c>
      <c r="B142" s="369">
        <v>170176</v>
      </c>
      <c r="C142" s="307">
        <f t="shared" si="5"/>
        <v>2039.4721018400003</v>
      </c>
      <c r="D142" s="291">
        <f t="shared" si="6"/>
        <v>7250308.7124137999</v>
      </c>
      <c r="E142" s="291">
        <f t="shared" si="6"/>
        <v>83920.26651571189</v>
      </c>
      <c r="F142" s="376">
        <v>4496.2700000000004</v>
      </c>
      <c r="G142" s="376">
        <v>142.18</v>
      </c>
      <c r="H142" s="376">
        <v>1.62</v>
      </c>
      <c r="I142" s="376">
        <v>6292.99</v>
      </c>
      <c r="J142" s="308">
        <f t="shared" si="7"/>
        <v>629299</v>
      </c>
      <c r="K142" s="308">
        <f t="shared" si="8"/>
        <v>7283.9574000000011</v>
      </c>
    </row>
    <row r="143" spans="1:11" x14ac:dyDescent="0.25">
      <c r="A143" s="372" t="s">
        <v>743</v>
      </c>
      <c r="B143" s="369">
        <v>170177</v>
      </c>
      <c r="C143" s="307">
        <f t="shared" si="5"/>
        <v>1942.1267227199999</v>
      </c>
      <c r="D143" s="291">
        <f t="shared" si="6"/>
        <v>7089621.8916624002</v>
      </c>
      <c r="E143" s="291">
        <f t="shared" si="6"/>
        <v>-17758.821241689118</v>
      </c>
      <c r="F143" s="376">
        <v>4281.66</v>
      </c>
      <c r="G143" s="376">
        <v>143.72</v>
      </c>
      <c r="H143" s="376">
        <v>-0.36</v>
      </c>
      <c r="I143" s="376">
        <v>6153.52</v>
      </c>
      <c r="J143" s="308">
        <f t="shared" si="7"/>
        <v>615352</v>
      </c>
      <c r="K143" s="308">
        <f t="shared" si="8"/>
        <v>-1541.3975999999998</v>
      </c>
    </row>
    <row r="144" spans="1:11" x14ac:dyDescent="0.25">
      <c r="A144" s="373" t="s">
        <v>744</v>
      </c>
      <c r="B144" s="369">
        <v>170178</v>
      </c>
      <c r="C144" s="307">
        <f t="shared" si="5"/>
        <v>1937.1281388800001</v>
      </c>
      <c r="D144" s="291">
        <f t="shared" si="6"/>
        <v>7073976.0393228</v>
      </c>
      <c r="E144" s="291">
        <f t="shared" si="6"/>
        <v>-4428.27853844112</v>
      </c>
      <c r="F144" s="376">
        <v>4270.6400000000003</v>
      </c>
      <c r="G144" s="376">
        <v>143.77000000000001</v>
      </c>
      <c r="H144" s="376">
        <v>-0.09</v>
      </c>
      <c r="I144" s="376">
        <v>6139.94</v>
      </c>
      <c r="J144" s="308">
        <f t="shared" si="7"/>
        <v>613994</v>
      </c>
      <c r="K144" s="308">
        <f t="shared" si="8"/>
        <v>-384.35759999999999</v>
      </c>
    </row>
    <row r="145" spans="1:11" x14ac:dyDescent="0.25">
      <c r="A145" s="372" t="s">
        <v>745</v>
      </c>
      <c r="B145" s="369">
        <v>170179</v>
      </c>
      <c r="C145" s="307">
        <f t="shared" si="5"/>
        <v>1975.6018123199999</v>
      </c>
      <c r="D145" s="291">
        <f t="shared" si="6"/>
        <v>7185351.9263382005</v>
      </c>
      <c r="E145" s="291">
        <f t="shared" si="6"/>
        <v>12545.081743563</v>
      </c>
      <c r="F145" s="376">
        <v>4355.46</v>
      </c>
      <c r="G145" s="376">
        <v>143.19</v>
      </c>
      <c r="H145" s="376">
        <v>0.25</v>
      </c>
      <c r="I145" s="376">
        <v>6236.61</v>
      </c>
      <c r="J145" s="308">
        <f t="shared" si="7"/>
        <v>623661</v>
      </c>
      <c r="K145" s="308">
        <f t="shared" si="8"/>
        <v>1088.865</v>
      </c>
    </row>
    <row r="146" spans="1:11" x14ac:dyDescent="0.25">
      <c r="A146" s="372" t="s">
        <v>746</v>
      </c>
      <c r="B146" s="369">
        <v>170180</v>
      </c>
      <c r="C146" s="307">
        <f t="shared" si="5"/>
        <v>1934.12989576</v>
      </c>
      <c r="D146" s="291">
        <f t="shared" si="6"/>
        <v>7084759.9257660005</v>
      </c>
      <c r="E146" s="291">
        <f t="shared" si="6"/>
        <v>-39792.820941690661</v>
      </c>
      <c r="F146" s="376">
        <v>4264.03</v>
      </c>
      <c r="G146" s="376">
        <v>144.21</v>
      </c>
      <c r="H146" s="376">
        <v>-0.81</v>
      </c>
      <c r="I146" s="376">
        <v>6149.3</v>
      </c>
      <c r="J146" s="308">
        <f t="shared" si="7"/>
        <v>614930</v>
      </c>
      <c r="K146" s="308">
        <f t="shared" si="8"/>
        <v>-3453.8643000000002</v>
      </c>
    </row>
    <row r="147" spans="1:11" x14ac:dyDescent="0.25">
      <c r="A147" s="372" t="s">
        <v>747</v>
      </c>
      <c r="B147" s="369">
        <v>170181</v>
      </c>
      <c r="C147" s="307">
        <f t="shared" si="5"/>
        <v>1979.1715813599999</v>
      </c>
      <c r="D147" s="291">
        <f t="shared" si="6"/>
        <v>7195260.1980702002</v>
      </c>
      <c r="E147" s="291">
        <f t="shared" si="6"/>
        <v>19605.689680919939</v>
      </c>
      <c r="F147" s="376">
        <v>4363.33</v>
      </c>
      <c r="G147" s="376">
        <v>143.13</v>
      </c>
      <c r="H147" s="376">
        <v>0.39</v>
      </c>
      <c r="I147" s="376">
        <v>6245.21</v>
      </c>
      <c r="J147" s="308">
        <f t="shared" si="7"/>
        <v>624521</v>
      </c>
      <c r="K147" s="308">
        <f t="shared" si="8"/>
        <v>1701.6986999999999</v>
      </c>
    </row>
    <row r="148" spans="1:11" x14ac:dyDescent="0.25">
      <c r="A148" s="372" t="s">
        <v>748</v>
      </c>
      <c r="B148" s="369">
        <v>170182</v>
      </c>
      <c r="C148" s="307">
        <f t="shared" si="5"/>
        <v>1989.16874904</v>
      </c>
      <c r="D148" s="291">
        <f t="shared" si="6"/>
        <v>7238660.7325056</v>
      </c>
      <c r="E148" s="291">
        <f t="shared" si="6"/>
        <v>1515.7478234428197</v>
      </c>
      <c r="F148" s="376">
        <v>4385.37</v>
      </c>
      <c r="G148" s="376">
        <v>143.27000000000001</v>
      </c>
      <c r="H148" s="376">
        <v>0.03</v>
      </c>
      <c r="I148" s="376">
        <v>6282.88</v>
      </c>
      <c r="J148" s="308">
        <f t="shared" si="7"/>
        <v>628288</v>
      </c>
      <c r="K148" s="308">
        <f t="shared" si="8"/>
        <v>131.56109999999998</v>
      </c>
    </row>
    <row r="149" spans="1:11" x14ac:dyDescent="0.25">
      <c r="A149" s="372" t="s">
        <v>749</v>
      </c>
      <c r="B149" s="369">
        <v>170183</v>
      </c>
      <c r="C149" s="307">
        <f t="shared" si="5"/>
        <v>1993.66838168</v>
      </c>
      <c r="D149" s="291">
        <f t="shared" si="6"/>
        <v>7193428.3199244002</v>
      </c>
      <c r="E149" s="291">
        <f t="shared" si="6"/>
        <v>42030.55111463034</v>
      </c>
      <c r="F149" s="376">
        <v>4395.29</v>
      </c>
      <c r="G149" s="376">
        <v>142.05000000000001</v>
      </c>
      <c r="H149" s="376">
        <v>0.83</v>
      </c>
      <c r="I149" s="376">
        <v>6243.62</v>
      </c>
      <c r="J149" s="308">
        <f t="shared" si="7"/>
        <v>624362</v>
      </c>
      <c r="K149" s="308">
        <f t="shared" si="8"/>
        <v>3648.0906999999997</v>
      </c>
    </row>
    <row r="150" spans="1:11" x14ac:dyDescent="0.25">
      <c r="A150" s="372" t="s">
        <v>750</v>
      </c>
      <c r="B150" s="369">
        <v>170184</v>
      </c>
      <c r="C150" s="307">
        <f t="shared" si="5"/>
        <v>1987.19108792</v>
      </c>
      <c r="D150" s="291">
        <f t="shared" si="6"/>
        <v>7215560.6338745998</v>
      </c>
      <c r="E150" s="291">
        <f t="shared" si="6"/>
        <v>37856.021110996502</v>
      </c>
      <c r="F150" s="376">
        <v>4381.01</v>
      </c>
      <c r="G150" s="376">
        <v>142.94999999999999</v>
      </c>
      <c r="H150" s="376">
        <v>0.75</v>
      </c>
      <c r="I150" s="376">
        <v>6262.83</v>
      </c>
      <c r="J150" s="308">
        <f t="shared" si="7"/>
        <v>626283</v>
      </c>
      <c r="K150" s="308">
        <f t="shared" si="8"/>
        <v>3285.7575000000002</v>
      </c>
    </row>
    <row r="151" spans="1:11" x14ac:dyDescent="0.25">
      <c r="A151" s="372" t="s">
        <v>751</v>
      </c>
      <c r="B151" s="369">
        <v>170185</v>
      </c>
      <c r="C151" s="307">
        <f t="shared" si="5"/>
        <v>1984.7689066400001</v>
      </c>
      <c r="D151" s="291">
        <f t="shared" si="6"/>
        <v>7231621.2510774005</v>
      </c>
      <c r="E151" s="291">
        <f t="shared" si="6"/>
        <v>9578.5025583912593</v>
      </c>
      <c r="F151" s="376">
        <v>4375.67</v>
      </c>
      <c r="G151" s="376">
        <v>143.44999999999999</v>
      </c>
      <c r="H151" s="376">
        <v>0.19</v>
      </c>
      <c r="I151" s="376">
        <v>6276.77</v>
      </c>
      <c r="J151" s="308">
        <f t="shared" si="7"/>
        <v>627677</v>
      </c>
      <c r="K151" s="308">
        <f t="shared" si="8"/>
        <v>831.37729999999999</v>
      </c>
    </row>
    <row r="152" spans="1:11" x14ac:dyDescent="0.25">
      <c r="A152" s="372" t="s">
        <v>752</v>
      </c>
      <c r="B152" s="369">
        <v>170186</v>
      </c>
      <c r="C152" s="307">
        <f t="shared" si="5"/>
        <v>1976.1688023199999</v>
      </c>
      <c r="D152" s="291">
        <f t="shared" si="6"/>
        <v>7168381.1306856005</v>
      </c>
      <c r="E152" s="291">
        <f t="shared" si="6"/>
        <v>41661.624681561654</v>
      </c>
      <c r="F152" s="376">
        <v>4356.71</v>
      </c>
      <c r="G152" s="376">
        <v>142.81</v>
      </c>
      <c r="H152" s="376">
        <v>0.83</v>
      </c>
      <c r="I152" s="376">
        <v>6221.88</v>
      </c>
      <c r="J152" s="308">
        <f t="shared" si="7"/>
        <v>622188</v>
      </c>
      <c r="K152" s="308">
        <f t="shared" si="8"/>
        <v>3616.0692999999997</v>
      </c>
    </row>
    <row r="153" spans="1:11" x14ac:dyDescent="0.25">
      <c r="A153" s="372" t="s">
        <v>753</v>
      </c>
      <c r="B153" s="369">
        <v>170187</v>
      </c>
      <c r="C153" s="307">
        <f t="shared" si="5"/>
        <v>1985.6715547199999</v>
      </c>
      <c r="D153" s="291">
        <f t="shared" si="6"/>
        <v>7202829.6568235997</v>
      </c>
      <c r="E153" s="291">
        <f t="shared" si="6"/>
        <v>47409.932721498481</v>
      </c>
      <c r="F153" s="376">
        <v>4377.66</v>
      </c>
      <c r="G153" s="376">
        <v>142.81</v>
      </c>
      <c r="H153" s="376">
        <v>0.94</v>
      </c>
      <c r="I153" s="376">
        <v>6251.78</v>
      </c>
      <c r="J153" s="308">
        <f t="shared" si="7"/>
        <v>625178</v>
      </c>
      <c r="K153" s="308">
        <f t="shared" si="8"/>
        <v>4115.0003999999999</v>
      </c>
    </row>
    <row r="154" spans="1:11" x14ac:dyDescent="0.25">
      <c r="A154" s="372" t="s">
        <v>754</v>
      </c>
      <c r="B154" s="369">
        <v>170188</v>
      </c>
      <c r="C154" s="307">
        <f t="shared" si="5"/>
        <v>1987.16840832</v>
      </c>
      <c r="D154" s="291">
        <f t="shared" si="6"/>
        <v>7206850.5717473999</v>
      </c>
      <c r="E154" s="291">
        <f t="shared" si="6"/>
        <v>36846.106689216962</v>
      </c>
      <c r="F154" s="376">
        <v>4380.96</v>
      </c>
      <c r="G154" s="376">
        <v>142.78</v>
      </c>
      <c r="H154" s="376">
        <v>0.73</v>
      </c>
      <c r="I154" s="376">
        <v>6255.27</v>
      </c>
      <c r="J154" s="308">
        <f t="shared" si="7"/>
        <v>625527</v>
      </c>
      <c r="K154" s="308">
        <f t="shared" si="8"/>
        <v>3198.1008000000002</v>
      </c>
    </row>
    <row r="155" spans="1:11" x14ac:dyDescent="0.25">
      <c r="A155" s="372" t="s">
        <v>755</v>
      </c>
      <c r="B155" s="369">
        <v>170189</v>
      </c>
      <c r="C155" s="307">
        <f t="shared" si="5"/>
        <v>1983.671214</v>
      </c>
      <c r="D155" s="291">
        <f t="shared" si="6"/>
        <v>7193877.6485262001</v>
      </c>
      <c r="E155" s="291">
        <f t="shared" si="6"/>
        <v>43835.202251410497</v>
      </c>
      <c r="F155" s="376">
        <v>4373.25</v>
      </c>
      <c r="G155" s="376">
        <v>142.78</v>
      </c>
      <c r="H155" s="376">
        <v>0.87</v>
      </c>
      <c r="I155" s="376">
        <v>6244.01</v>
      </c>
      <c r="J155" s="308">
        <f t="shared" si="7"/>
        <v>624401</v>
      </c>
      <c r="K155" s="308">
        <f t="shared" si="8"/>
        <v>3804.7275</v>
      </c>
    </row>
    <row r="156" spans="1:11" x14ac:dyDescent="0.25">
      <c r="A156" s="372" t="s">
        <v>756</v>
      </c>
      <c r="B156" s="369">
        <v>170190</v>
      </c>
      <c r="C156" s="307">
        <f t="shared" si="5"/>
        <v>1988.1889903199999</v>
      </c>
      <c r="D156" s="291">
        <f t="shared" si="6"/>
        <v>7240216.1007425999</v>
      </c>
      <c r="E156" s="291">
        <f t="shared" si="6"/>
        <v>15150.012466890599</v>
      </c>
      <c r="F156" s="376">
        <v>4383.21</v>
      </c>
      <c r="G156" s="376">
        <v>143.37</v>
      </c>
      <c r="H156" s="376">
        <v>0.3</v>
      </c>
      <c r="I156" s="376">
        <v>6284.23</v>
      </c>
      <c r="J156" s="308">
        <f t="shared" si="7"/>
        <v>628423</v>
      </c>
      <c r="K156" s="308">
        <f t="shared" si="8"/>
        <v>1314.963</v>
      </c>
    </row>
    <row r="157" spans="1:11" x14ac:dyDescent="0.25">
      <c r="A157" s="372" t="s">
        <v>757</v>
      </c>
      <c r="B157" s="369">
        <v>170206</v>
      </c>
      <c r="C157" s="307">
        <f t="shared" si="5"/>
        <v>1991.69072056</v>
      </c>
      <c r="D157" s="291">
        <f t="shared" si="6"/>
        <v>7254537.0097692003</v>
      </c>
      <c r="E157" s="291">
        <f t="shared" si="6"/>
        <v>14164.915961550481</v>
      </c>
      <c r="F157" s="376">
        <v>4390.93</v>
      </c>
      <c r="G157" s="376">
        <v>143.4</v>
      </c>
      <c r="H157" s="376">
        <v>0.28000000000000003</v>
      </c>
      <c r="I157" s="376">
        <v>6296.66</v>
      </c>
      <c r="J157" s="308">
        <f t="shared" si="7"/>
        <v>629666</v>
      </c>
      <c r="K157" s="308">
        <f t="shared" si="8"/>
        <v>1229.4604000000002</v>
      </c>
    </row>
    <row r="158" spans="1:11" x14ac:dyDescent="0.25">
      <c r="A158" s="372" t="s">
        <v>758</v>
      </c>
      <c r="B158" s="369">
        <v>170207</v>
      </c>
      <c r="C158" s="307">
        <f t="shared" si="5"/>
        <v>1989.6677002400002</v>
      </c>
      <c r="D158" s="291">
        <f t="shared" si="6"/>
        <v>7242243.8400737997</v>
      </c>
      <c r="E158" s="291">
        <f t="shared" si="6"/>
        <v>6064.5120982696799</v>
      </c>
      <c r="F158" s="376">
        <v>4386.47</v>
      </c>
      <c r="G158" s="376">
        <v>143.30000000000001</v>
      </c>
      <c r="H158" s="376">
        <v>0.12</v>
      </c>
      <c r="I158" s="376">
        <v>6285.99</v>
      </c>
      <c r="J158" s="308">
        <f t="shared" si="7"/>
        <v>628599</v>
      </c>
      <c r="K158" s="308">
        <f t="shared" si="8"/>
        <v>526.37639999999999</v>
      </c>
    </row>
    <row r="159" spans="1:11" x14ac:dyDescent="0.25">
      <c r="A159" s="372" t="s">
        <v>759</v>
      </c>
      <c r="B159" s="369">
        <v>170208</v>
      </c>
      <c r="C159" s="307">
        <f t="shared" si="5"/>
        <v>1990.1893310399998</v>
      </c>
      <c r="D159" s="291">
        <f t="shared" si="6"/>
        <v>7238407.2650891999</v>
      </c>
      <c r="E159" s="291">
        <f t="shared" si="6"/>
        <v>16681.780583174521</v>
      </c>
      <c r="F159" s="376">
        <v>4387.62</v>
      </c>
      <c r="G159" s="376">
        <v>143.19</v>
      </c>
      <c r="H159" s="376">
        <v>0.33</v>
      </c>
      <c r="I159" s="376">
        <v>6282.66</v>
      </c>
      <c r="J159" s="308">
        <f t="shared" si="7"/>
        <v>628266</v>
      </c>
      <c r="K159" s="308">
        <f t="shared" si="8"/>
        <v>1447.9146000000001</v>
      </c>
    </row>
    <row r="160" spans="1:11" x14ac:dyDescent="0.25">
      <c r="A160" s="372" t="s">
        <v>760</v>
      </c>
      <c r="B160" s="369">
        <v>170209</v>
      </c>
      <c r="C160" s="307">
        <f t="shared" si="5"/>
        <v>1992.1715280799999</v>
      </c>
      <c r="D160" s="291">
        <f t="shared" si="6"/>
        <v>7233257.2680377997</v>
      </c>
      <c r="E160" s="291">
        <f t="shared" si="6"/>
        <v>5566.13179077318</v>
      </c>
      <c r="F160" s="376">
        <v>4391.99</v>
      </c>
      <c r="G160" s="376">
        <v>142.94999999999999</v>
      </c>
      <c r="H160" s="376">
        <v>0.11</v>
      </c>
      <c r="I160" s="376">
        <v>6278.19</v>
      </c>
      <c r="J160" s="308">
        <f t="shared" si="7"/>
        <v>627819</v>
      </c>
      <c r="K160" s="308">
        <f t="shared" si="8"/>
        <v>483.1189</v>
      </c>
    </row>
    <row r="161" spans="1:11" x14ac:dyDescent="0.25">
      <c r="A161" s="372" t="s">
        <v>761</v>
      </c>
      <c r="B161" s="369">
        <v>170210</v>
      </c>
      <c r="C161" s="307">
        <f t="shared" si="5"/>
        <v>1988.6697978400002</v>
      </c>
      <c r="D161" s="291">
        <f t="shared" si="6"/>
        <v>7256599.3128390005</v>
      </c>
      <c r="E161" s="291">
        <f t="shared" si="6"/>
        <v>0</v>
      </c>
      <c r="F161" s="376">
        <v>4384.2700000000004</v>
      </c>
      <c r="G161" s="376">
        <v>143.66</v>
      </c>
      <c r="H161" s="376">
        <v>0</v>
      </c>
      <c r="I161" s="376">
        <v>6298.45</v>
      </c>
      <c r="J161" s="308">
        <f t="shared" si="7"/>
        <v>629845</v>
      </c>
      <c r="K161" s="308">
        <f t="shared" si="8"/>
        <v>0</v>
      </c>
    </row>
    <row r="162" spans="1:11" x14ac:dyDescent="0.25">
      <c r="A162" s="372" t="s">
        <v>762</v>
      </c>
      <c r="B162" s="369">
        <v>170211</v>
      </c>
      <c r="C162" s="307">
        <f t="shared" si="5"/>
        <v>1988.1889903199999</v>
      </c>
      <c r="D162" s="291">
        <f t="shared" si="6"/>
        <v>7224074.8348164</v>
      </c>
      <c r="E162" s="291">
        <f t="shared" si="6"/>
        <v>8080.0066490083209</v>
      </c>
      <c r="F162" s="376">
        <v>4383.21</v>
      </c>
      <c r="G162" s="376">
        <v>143.05000000000001</v>
      </c>
      <c r="H162" s="376">
        <v>0.16</v>
      </c>
      <c r="I162" s="376">
        <v>6270.22</v>
      </c>
      <c r="J162" s="308">
        <f t="shared" si="7"/>
        <v>627022</v>
      </c>
      <c r="K162" s="308">
        <f t="shared" si="8"/>
        <v>701.31360000000006</v>
      </c>
    </row>
    <row r="163" spans="1:11" x14ac:dyDescent="0.25">
      <c r="A163" s="372" t="s">
        <v>763</v>
      </c>
      <c r="B163" s="369">
        <v>170212</v>
      </c>
      <c r="C163" s="307">
        <f t="shared" si="5"/>
        <v>1997.6690631199999</v>
      </c>
      <c r="D163" s="291">
        <f t="shared" si="6"/>
        <v>7282084.3094333997</v>
      </c>
      <c r="E163" s="291">
        <f t="shared" si="6"/>
        <v>18774.109172696339</v>
      </c>
      <c r="F163" s="376">
        <v>4404.1099999999997</v>
      </c>
      <c r="G163" s="376">
        <v>143.52000000000001</v>
      </c>
      <c r="H163" s="376">
        <v>0.37</v>
      </c>
      <c r="I163" s="376">
        <v>6320.57</v>
      </c>
      <c r="J163" s="308">
        <f t="shared" si="7"/>
        <v>632057</v>
      </c>
      <c r="K163" s="308">
        <f t="shared" si="8"/>
        <v>1629.5206999999998</v>
      </c>
    </row>
    <row r="164" spans="1:11" x14ac:dyDescent="0.25">
      <c r="A164" s="372" t="s">
        <v>764</v>
      </c>
      <c r="B164" s="369">
        <v>170213</v>
      </c>
      <c r="C164" s="307">
        <f t="shared" si="5"/>
        <v>1996.1903532000001</v>
      </c>
      <c r="D164" s="291">
        <f t="shared" si="6"/>
        <v>7262567.3183706002</v>
      </c>
      <c r="E164" s="291">
        <f t="shared" si="6"/>
        <v>2028.1310535708003</v>
      </c>
      <c r="F164" s="376">
        <v>4400.8500000000004</v>
      </c>
      <c r="G164" s="376">
        <v>143.24</v>
      </c>
      <c r="H164" s="376">
        <v>0.04</v>
      </c>
      <c r="I164" s="376">
        <v>6303.63</v>
      </c>
      <c r="J164" s="308">
        <f t="shared" si="7"/>
        <v>630363</v>
      </c>
      <c r="K164" s="308">
        <f t="shared" si="8"/>
        <v>176.03400000000002</v>
      </c>
    </row>
    <row r="165" spans="1:11" x14ac:dyDescent="0.25">
      <c r="A165" s="372" t="s">
        <v>765</v>
      </c>
      <c r="B165" s="369">
        <v>170214</v>
      </c>
      <c r="C165" s="307">
        <f t="shared" si="5"/>
        <v>1986.6876007999999</v>
      </c>
      <c r="D165" s="291">
        <f t="shared" si="6"/>
        <v>7259053.3382796003</v>
      </c>
      <c r="E165" s="291">
        <f t="shared" si="6"/>
        <v>-13120.0956201588</v>
      </c>
      <c r="F165" s="376">
        <v>4379.8999999999996</v>
      </c>
      <c r="G165" s="376">
        <v>143.85</v>
      </c>
      <c r="H165" s="376">
        <v>-0.26</v>
      </c>
      <c r="I165" s="376">
        <v>6300.58</v>
      </c>
      <c r="J165" s="308">
        <f t="shared" si="7"/>
        <v>630058</v>
      </c>
      <c r="K165" s="308">
        <f t="shared" si="8"/>
        <v>-1138.7739999999999</v>
      </c>
    </row>
    <row r="166" spans="1:11" x14ac:dyDescent="0.25">
      <c r="A166" s="372" t="s">
        <v>766</v>
      </c>
      <c r="B166" s="369">
        <v>170215</v>
      </c>
      <c r="C166" s="307">
        <f t="shared" si="5"/>
        <v>1992.9607781599998</v>
      </c>
      <c r="D166" s="291">
        <f t="shared" si="6"/>
        <v>7234178.9677338004</v>
      </c>
      <c r="E166" s="291">
        <f t="shared" si="6"/>
        <v>8605.6116612754195</v>
      </c>
      <c r="F166" s="376">
        <v>4393.7299999999996</v>
      </c>
      <c r="G166" s="376">
        <v>142.91</v>
      </c>
      <c r="H166" s="376">
        <v>0.17</v>
      </c>
      <c r="I166" s="376">
        <v>6278.99</v>
      </c>
      <c r="J166" s="308">
        <f t="shared" si="7"/>
        <v>627899</v>
      </c>
      <c r="K166" s="308">
        <f t="shared" si="8"/>
        <v>746.93409999999994</v>
      </c>
    </row>
    <row r="167" spans="1:11" x14ac:dyDescent="0.25">
      <c r="A167" s="372" t="s">
        <v>767</v>
      </c>
      <c r="B167" s="369">
        <v>170216</v>
      </c>
      <c r="C167" s="307">
        <f t="shared" si="5"/>
        <v>1986.4608047999998</v>
      </c>
      <c r="D167" s="291">
        <f t="shared" si="6"/>
        <v>7233337.9167611999</v>
      </c>
      <c r="E167" s="291">
        <f t="shared" si="6"/>
        <v>16145.966594649599</v>
      </c>
      <c r="F167" s="376">
        <v>4379.3999999999996</v>
      </c>
      <c r="G167" s="376">
        <v>143.36000000000001</v>
      </c>
      <c r="H167" s="376">
        <v>0.32</v>
      </c>
      <c r="I167" s="376">
        <v>6278.26</v>
      </c>
      <c r="J167" s="308">
        <f t="shared" si="7"/>
        <v>627826</v>
      </c>
      <c r="K167" s="308">
        <f t="shared" si="8"/>
        <v>1401.4079999999999</v>
      </c>
    </row>
    <row r="168" spans="1:11" x14ac:dyDescent="0.25">
      <c r="A168" s="373" t="s">
        <v>768</v>
      </c>
      <c r="B168" s="369">
        <v>170217</v>
      </c>
      <c r="C168" s="307">
        <f t="shared" si="5"/>
        <v>1991.9583398400002</v>
      </c>
      <c r="D168" s="291">
        <f t="shared" si="6"/>
        <v>7236425.6107427999</v>
      </c>
      <c r="E168" s="291">
        <f t="shared" si="6"/>
        <v>-5565.5361423446411</v>
      </c>
      <c r="F168" s="376">
        <v>4391.5200000000004</v>
      </c>
      <c r="G168" s="376">
        <v>143.03</v>
      </c>
      <c r="H168" s="376">
        <v>-0.11</v>
      </c>
      <c r="I168" s="376">
        <v>6280.94</v>
      </c>
      <c r="J168" s="308">
        <f t="shared" si="7"/>
        <v>628094</v>
      </c>
      <c r="K168" s="308">
        <f t="shared" si="8"/>
        <v>-483.06720000000007</v>
      </c>
    </row>
    <row r="169" spans="1:11" x14ac:dyDescent="0.25">
      <c r="A169" s="372" t="s">
        <v>769</v>
      </c>
      <c r="B169" s="369">
        <v>170218</v>
      </c>
      <c r="C169" s="307">
        <f t="shared" si="5"/>
        <v>1990.9785811199997</v>
      </c>
      <c r="D169" s="291">
        <f t="shared" si="6"/>
        <v>7283616.6351779997</v>
      </c>
      <c r="E169" s="291">
        <f t="shared" si="6"/>
        <v>-39445.299831936958</v>
      </c>
      <c r="F169" s="376">
        <v>4389.3599999999997</v>
      </c>
      <c r="G169" s="376">
        <v>144.03</v>
      </c>
      <c r="H169" s="376">
        <v>-0.78</v>
      </c>
      <c r="I169" s="376">
        <v>6321.9</v>
      </c>
      <c r="J169" s="308">
        <f t="shared" si="7"/>
        <v>632190</v>
      </c>
      <c r="K169" s="308">
        <f t="shared" si="8"/>
        <v>-3423.7008000000001</v>
      </c>
    </row>
    <row r="170" spans="1:11" x14ac:dyDescent="0.25">
      <c r="A170" s="372" t="s">
        <v>770</v>
      </c>
      <c r="B170" s="369">
        <v>170219</v>
      </c>
      <c r="C170" s="307">
        <f t="shared" si="5"/>
        <v>1993.5050885600001</v>
      </c>
      <c r="D170" s="291">
        <f t="shared" si="6"/>
        <v>7258085.5535987997</v>
      </c>
      <c r="E170" s="291">
        <f t="shared" si="6"/>
        <v>3544.4549393236207</v>
      </c>
      <c r="F170" s="376">
        <v>4394.93</v>
      </c>
      <c r="G170" s="376">
        <v>143.34</v>
      </c>
      <c r="H170" s="376">
        <v>7.0000000000000007E-2</v>
      </c>
      <c r="I170" s="376">
        <v>6299.74</v>
      </c>
      <c r="J170" s="308">
        <f t="shared" si="7"/>
        <v>629974</v>
      </c>
      <c r="K170" s="308">
        <f t="shared" si="8"/>
        <v>307.64510000000007</v>
      </c>
    </row>
    <row r="171" spans="1:11" x14ac:dyDescent="0.25">
      <c r="A171" s="372" t="s">
        <v>771</v>
      </c>
      <c r="B171" s="369">
        <v>170220</v>
      </c>
      <c r="C171" s="307">
        <f t="shared" si="5"/>
        <v>1985.4583664799998</v>
      </c>
      <c r="D171" s="291">
        <f t="shared" si="6"/>
        <v>7201954.0421123998</v>
      </c>
      <c r="E171" s="291">
        <f t="shared" si="6"/>
        <v>29754.103355965017</v>
      </c>
      <c r="F171" s="376">
        <v>4377.1899999999996</v>
      </c>
      <c r="G171" s="376">
        <v>142.81</v>
      </c>
      <c r="H171" s="376">
        <v>0.59</v>
      </c>
      <c r="I171" s="376">
        <v>6251.02</v>
      </c>
      <c r="J171" s="308">
        <f t="shared" si="7"/>
        <v>625102</v>
      </c>
      <c r="K171" s="308">
        <f t="shared" si="8"/>
        <v>2582.5420999999997</v>
      </c>
    </row>
    <row r="172" spans="1:11" x14ac:dyDescent="0.25">
      <c r="A172" s="372" t="s">
        <v>772</v>
      </c>
      <c r="B172" s="369">
        <v>170221</v>
      </c>
      <c r="C172" s="307">
        <f t="shared" si="5"/>
        <v>1998.9572644</v>
      </c>
      <c r="D172" s="291">
        <f t="shared" si="6"/>
        <v>7267751.8791605998</v>
      </c>
      <c r="E172" s="291">
        <f t="shared" si="6"/>
        <v>18278.480138792398</v>
      </c>
      <c r="F172" s="376">
        <v>4406.95</v>
      </c>
      <c r="G172" s="376">
        <v>143.13999999999999</v>
      </c>
      <c r="H172" s="376">
        <v>0.36</v>
      </c>
      <c r="I172" s="376">
        <v>6308.13</v>
      </c>
      <c r="J172" s="308">
        <f t="shared" si="7"/>
        <v>630813</v>
      </c>
      <c r="K172" s="308">
        <f t="shared" si="8"/>
        <v>1586.502</v>
      </c>
    </row>
    <row r="173" spans="1:11" x14ac:dyDescent="0.25">
      <c r="A173" s="372" t="s">
        <v>773</v>
      </c>
      <c r="B173" s="369">
        <v>170222</v>
      </c>
      <c r="C173" s="307">
        <f t="shared" si="5"/>
        <v>2016.6745679200001</v>
      </c>
      <c r="D173" s="291">
        <f t="shared" si="6"/>
        <v>7307177.5836570002</v>
      </c>
      <c r="E173" s="291">
        <f t="shared" si="6"/>
        <v>10244.715163532401</v>
      </c>
      <c r="F173" s="376">
        <v>4446.01</v>
      </c>
      <c r="G173" s="376">
        <v>142.65</v>
      </c>
      <c r="H173" s="376">
        <v>0.2</v>
      </c>
      <c r="I173" s="376">
        <v>6342.35</v>
      </c>
      <c r="J173" s="308">
        <f t="shared" si="7"/>
        <v>634235</v>
      </c>
      <c r="K173" s="308">
        <f t="shared" si="8"/>
        <v>889.20200000000011</v>
      </c>
    </row>
    <row r="174" spans="1:11" x14ac:dyDescent="0.25">
      <c r="A174" s="372" t="s">
        <v>774</v>
      </c>
      <c r="B174" s="369">
        <v>170223</v>
      </c>
      <c r="C174" s="307">
        <f t="shared" si="5"/>
        <v>2045.9584674399998</v>
      </c>
      <c r="D174" s="291">
        <f t="shared" si="6"/>
        <v>7356776.5485479999</v>
      </c>
      <c r="E174" s="291">
        <f t="shared" si="6"/>
        <v>51967.387472333998</v>
      </c>
      <c r="F174" s="376">
        <v>4510.57</v>
      </c>
      <c r="G174" s="376">
        <v>141.57</v>
      </c>
      <c r="H174" s="376">
        <v>1</v>
      </c>
      <c r="I174" s="376">
        <v>6385.4</v>
      </c>
      <c r="J174" s="308">
        <f t="shared" si="7"/>
        <v>638540</v>
      </c>
      <c r="K174" s="308">
        <f t="shared" si="8"/>
        <v>4510.57</v>
      </c>
    </row>
    <row r="175" spans="1:11" x14ac:dyDescent="0.25">
      <c r="A175" s="372" t="s">
        <v>775</v>
      </c>
      <c r="B175" s="369">
        <v>170224</v>
      </c>
      <c r="C175" s="307">
        <f t="shared" si="5"/>
        <v>1995.65965056</v>
      </c>
      <c r="D175" s="291">
        <f t="shared" si="6"/>
        <v>7266968.4344190005</v>
      </c>
      <c r="E175" s="291">
        <f t="shared" si="6"/>
        <v>10644.85726105536</v>
      </c>
      <c r="F175" s="376">
        <v>4399.68</v>
      </c>
      <c r="G175" s="376">
        <v>143.36000000000001</v>
      </c>
      <c r="H175" s="376">
        <v>0.21</v>
      </c>
      <c r="I175" s="376">
        <v>6307.45</v>
      </c>
      <c r="J175" s="308">
        <f t="shared" si="7"/>
        <v>630745</v>
      </c>
      <c r="K175" s="308">
        <f t="shared" si="8"/>
        <v>923.93280000000004</v>
      </c>
    </row>
    <row r="176" spans="1:11" x14ac:dyDescent="0.25">
      <c r="A176" s="372" t="s">
        <v>776</v>
      </c>
      <c r="B176" s="369">
        <v>170225</v>
      </c>
      <c r="C176" s="307">
        <f t="shared" si="5"/>
        <v>1995.0609091199999</v>
      </c>
      <c r="D176" s="291">
        <f t="shared" si="6"/>
        <v>7270205.9046012005</v>
      </c>
      <c r="E176" s="291">
        <f t="shared" si="6"/>
        <v>13682.13887778264</v>
      </c>
      <c r="F176" s="376">
        <v>4398.3599999999997</v>
      </c>
      <c r="G176" s="376">
        <v>143.47</v>
      </c>
      <c r="H176" s="376">
        <v>0.27</v>
      </c>
      <c r="I176" s="376">
        <v>6310.26</v>
      </c>
      <c r="J176" s="308">
        <f t="shared" si="7"/>
        <v>631026</v>
      </c>
      <c r="K176" s="308">
        <f t="shared" si="8"/>
        <v>1187.5572</v>
      </c>
    </row>
    <row r="177" spans="1:11" x14ac:dyDescent="0.25">
      <c r="A177" s="372" t="s">
        <v>777</v>
      </c>
      <c r="B177" s="369">
        <v>170226</v>
      </c>
      <c r="C177" s="307">
        <f t="shared" si="5"/>
        <v>1994.7796820799999</v>
      </c>
      <c r="D177" s="291">
        <f t="shared" si="6"/>
        <v>7253903.3412282001</v>
      </c>
      <c r="E177" s="291">
        <f t="shared" si="6"/>
        <v>11146.837957989361</v>
      </c>
      <c r="F177" s="376">
        <v>4397.74</v>
      </c>
      <c r="G177" s="376">
        <v>143.16999999999999</v>
      </c>
      <c r="H177" s="376">
        <v>0.22</v>
      </c>
      <c r="I177" s="376">
        <v>6296.11</v>
      </c>
      <c r="J177" s="308">
        <f t="shared" si="7"/>
        <v>629611</v>
      </c>
      <c r="K177" s="308">
        <f t="shared" si="8"/>
        <v>967.50279999999998</v>
      </c>
    </row>
    <row r="178" spans="1:11" x14ac:dyDescent="0.25">
      <c r="A178" s="372" t="s">
        <v>778</v>
      </c>
      <c r="B178" s="369">
        <v>170242</v>
      </c>
      <c r="C178" s="307">
        <f t="shared" si="5"/>
        <v>1991.2598081599997</v>
      </c>
      <c r="D178" s="291">
        <f t="shared" si="6"/>
        <v>7248891.5991312005</v>
      </c>
      <c r="E178" s="291">
        <f t="shared" si="6"/>
        <v>12644.510098268998</v>
      </c>
      <c r="F178" s="376">
        <v>4389.9799999999996</v>
      </c>
      <c r="G178" s="376">
        <v>143.32</v>
      </c>
      <c r="H178" s="376">
        <v>0.25</v>
      </c>
      <c r="I178" s="376">
        <v>6291.76</v>
      </c>
      <c r="J178" s="308">
        <f t="shared" si="7"/>
        <v>629176</v>
      </c>
      <c r="K178" s="308">
        <f t="shared" si="8"/>
        <v>1097.4949999999999</v>
      </c>
    </row>
    <row r="179" spans="1:11" x14ac:dyDescent="0.25">
      <c r="A179" s="372" t="s">
        <v>779</v>
      </c>
      <c r="B179" s="369">
        <v>170243</v>
      </c>
      <c r="C179" s="307">
        <f t="shared" si="5"/>
        <v>2043.9581267199999</v>
      </c>
      <c r="D179" s="291">
        <f t="shared" si="6"/>
        <v>7386766.3524066005</v>
      </c>
      <c r="E179" s="291">
        <f t="shared" si="6"/>
        <v>74759.873438292474</v>
      </c>
      <c r="F179" s="376">
        <v>4506.16</v>
      </c>
      <c r="G179" s="376">
        <v>142.28</v>
      </c>
      <c r="H179" s="376">
        <v>1.44</v>
      </c>
      <c r="I179" s="376">
        <v>6411.43</v>
      </c>
      <c r="J179" s="308">
        <f t="shared" si="7"/>
        <v>641143</v>
      </c>
      <c r="K179" s="308">
        <f t="shared" si="8"/>
        <v>6488.8703999999998</v>
      </c>
    </row>
    <row r="180" spans="1:11" x14ac:dyDescent="0.25">
      <c r="A180" s="372" t="s">
        <v>780</v>
      </c>
      <c r="B180" s="369">
        <v>170244</v>
      </c>
      <c r="C180" s="307">
        <f t="shared" si="5"/>
        <v>1980.4779263200001</v>
      </c>
      <c r="D180" s="291">
        <f t="shared" si="6"/>
        <v>7225952.7979469998</v>
      </c>
      <c r="E180" s="291">
        <f t="shared" si="6"/>
        <v>6539.5434482172604</v>
      </c>
      <c r="F180" s="376">
        <v>4366.21</v>
      </c>
      <c r="G180" s="376">
        <v>143.65</v>
      </c>
      <c r="H180" s="376">
        <v>0.13</v>
      </c>
      <c r="I180" s="376">
        <v>6271.85</v>
      </c>
      <c r="J180" s="308">
        <f t="shared" si="7"/>
        <v>627185</v>
      </c>
      <c r="K180" s="308">
        <f t="shared" si="8"/>
        <v>567.60730000000001</v>
      </c>
    </row>
    <row r="181" spans="1:11" x14ac:dyDescent="0.25">
      <c r="A181" s="372" t="s">
        <v>781</v>
      </c>
      <c r="B181" s="369">
        <v>170245</v>
      </c>
      <c r="C181" s="307">
        <f t="shared" si="5"/>
        <v>1987.9803380000001</v>
      </c>
      <c r="D181" s="291">
        <f t="shared" si="6"/>
        <v>7218636.8066100003</v>
      </c>
      <c r="E181" s="291">
        <f t="shared" si="6"/>
        <v>12118.738027931999</v>
      </c>
      <c r="F181" s="376">
        <v>4382.75</v>
      </c>
      <c r="G181" s="376">
        <v>142.96</v>
      </c>
      <c r="H181" s="376">
        <v>0.24</v>
      </c>
      <c r="I181" s="376">
        <v>6265.5</v>
      </c>
      <c r="J181" s="308">
        <f t="shared" si="7"/>
        <v>626550</v>
      </c>
      <c r="K181" s="308">
        <f t="shared" si="8"/>
        <v>1051.8599999999999</v>
      </c>
    </row>
    <row r="182" spans="1:11" x14ac:dyDescent="0.25">
      <c r="A182" s="372" t="s">
        <v>782</v>
      </c>
      <c r="B182" s="369">
        <v>170246</v>
      </c>
      <c r="C182" s="307">
        <f t="shared" si="5"/>
        <v>1975.97829368</v>
      </c>
      <c r="D182" s="291">
        <f t="shared" si="6"/>
        <v>7212542.0673702005</v>
      </c>
      <c r="E182" s="291">
        <f t="shared" si="6"/>
        <v>25596.843700384979</v>
      </c>
      <c r="F182" s="376">
        <v>4356.29</v>
      </c>
      <c r="G182" s="376">
        <v>143.71</v>
      </c>
      <c r="H182" s="376">
        <v>0.51</v>
      </c>
      <c r="I182" s="376">
        <v>6260.21</v>
      </c>
      <c r="J182" s="308">
        <f t="shared" si="7"/>
        <v>626021</v>
      </c>
      <c r="K182" s="308">
        <f t="shared" si="8"/>
        <v>2221.7078999999999</v>
      </c>
    </row>
    <row r="183" spans="1:11" x14ac:dyDescent="0.25">
      <c r="A183" s="372" t="s">
        <v>783</v>
      </c>
      <c r="B183" s="369">
        <v>170247</v>
      </c>
      <c r="C183" s="307">
        <f t="shared" si="5"/>
        <v>1973.46085808</v>
      </c>
      <c r="D183" s="291">
        <f t="shared" si="6"/>
        <v>7165742.7653058004</v>
      </c>
      <c r="E183" s="291">
        <f t="shared" si="6"/>
        <v>13534.005606890762</v>
      </c>
      <c r="F183" s="376">
        <v>4350.74</v>
      </c>
      <c r="G183" s="376">
        <v>142.94999999999999</v>
      </c>
      <c r="H183" s="376">
        <v>0.27</v>
      </c>
      <c r="I183" s="376">
        <v>6219.59</v>
      </c>
      <c r="J183" s="308">
        <f t="shared" si="7"/>
        <v>621959</v>
      </c>
      <c r="K183" s="308">
        <f t="shared" si="8"/>
        <v>1174.6998000000001</v>
      </c>
    </row>
    <row r="184" spans="1:11" x14ac:dyDescent="0.25">
      <c r="A184" s="372" t="s">
        <v>784</v>
      </c>
      <c r="B184" s="369">
        <v>170248</v>
      </c>
      <c r="C184" s="307">
        <f t="shared" si="5"/>
        <v>1973.97795296</v>
      </c>
      <c r="D184" s="291">
        <f t="shared" si="6"/>
        <v>7188796.7789519997</v>
      </c>
      <c r="E184" s="291">
        <f t="shared" si="6"/>
        <v>12534.770228214</v>
      </c>
      <c r="F184" s="376">
        <v>4351.88</v>
      </c>
      <c r="G184" s="376">
        <v>143.38</v>
      </c>
      <c r="H184" s="376">
        <v>0.25</v>
      </c>
      <c r="I184" s="376">
        <v>6239.6</v>
      </c>
      <c r="J184" s="308">
        <f t="shared" si="7"/>
        <v>623960</v>
      </c>
      <c r="K184" s="308">
        <f t="shared" si="8"/>
        <v>1087.97</v>
      </c>
    </row>
    <row r="185" spans="1:11" x14ac:dyDescent="0.25">
      <c r="A185" s="372" t="s">
        <v>785</v>
      </c>
      <c r="B185" s="369">
        <v>170249</v>
      </c>
      <c r="C185" s="307">
        <f t="shared" si="5"/>
        <v>1988.6244386400001</v>
      </c>
      <c r="D185" s="291">
        <f t="shared" si="6"/>
        <v>7223441.1662753997</v>
      </c>
      <c r="E185" s="291">
        <f t="shared" si="6"/>
        <v>16668.663644375822</v>
      </c>
      <c r="F185" s="376">
        <v>4384.17</v>
      </c>
      <c r="G185" s="376">
        <v>143.01</v>
      </c>
      <c r="H185" s="376">
        <v>0.33</v>
      </c>
      <c r="I185" s="376">
        <v>6269.67</v>
      </c>
      <c r="J185" s="308">
        <f t="shared" si="7"/>
        <v>626967</v>
      </c>
      <c r="K185" s="308">
        <f t="shared" si="8"/>
        <v>1446.7761</v>
      </c>
    </row>
    <row r="186" spans="1:11" x14ac:dyDescent="0.25">
      <c r="A186" s="372" t="s">
        <v>786</v>
      </c>
      <c r="B186" s="369">
        <v>170250</v>
      </c>
      <c r="C186" s="307">
        <f t="shared" si="5"/>
        <v>2044.4071827999999</v>
      </c>
      <c r="D186" s="291">
        <f t="shared" si="6"/>
        <v>7391743.5307649998</v>
      </c>
      <c r="E186" s="291">
        <f t="shared" si="6"/>
        <v>60755.742228086092</v>
      </c>
      <c r="F186" s="376">
        <v>4507.1499999999996</v>
      </c>
      <c r="G186" s="376">
        <v>142.35</v>
      </c>
      <c r="H186" s="376">
        <v>1.17</v>
      </c>
      <c r="I186" s="376">
        <v>6415.75</v>
      </c>
      <c r="J186" s="308">
        <f t="shared" si="7"/>
        <v>641575</v>
      </c>
      <c r="K186" s="308">
        <f t="shared" si="8"/>
        <v>5273.365499999999</v>
      </c>
    </row>
    <row r="187" spans="1:11" x14ac:dyDescent="0.25">
      <c r="A187" s="372" t="s">
        <v>787</v>
      </c>
      <c r="B187" s="369">
        <v>170251</v>
      </c>
      <c r="C187" s="307">
        <f t="shared" si="5"/>
        <v>1998.10904736</v>
      </c>
      <c r="D187" s="291">
        <f t="shared" si="6"/>
        <v>7278754.6692816</v>
      </c>
      <c r="E187" s="291">
        <f t="shared" si="6"/>
        <v>6090.2413452835199</v>
      </c>
      <c r="F187" s="376">
        <v>4405.08</v>
      </c>
      <c r="G187" s="376">
        <v>143.41999999999999</v>
      </c>
      <c r="H187" s="376">
        <v>0.12</v>
      </c>
      <c r="I187" s="376">
        <v>6317.68</v>
      </c>
      <c r="J187" s="308">
        <f t="shared" si="7"/>
        <v>631768</v>
      </c>
      <c r="K187" s="308">
        <f t="shared" si="8"/>
        <v>528.6096</v>
      </c>
    </row>
    <row r="188" spans="1:11" x14ac:dyDescent="0.25">
      <c r="A188" s="372" t="s">
        <v>788</v>
      </c>
      <c r="B188" s="369">
        <v>170252</v>
      </c>
      <c r="C188" s="307">
        <f t="shared" si="5"/>
        <v>1993.6275584</v>
      </c>
      <c r="D188" s="291">
        <f t="shared" si="6"/>
        <v>7248499.8767603999</v>
      </c>
      <c r="E188" s="291">
        <f t="shared" si="6"/>
        <v>-30889.290591926398</v>
      </c>
      <c r="F188" s="376">
        <v>4395.2</v>
      </c>
      <c r="G188" s="376">
        <v>143.13999999999999</v>
      </c>
      <c r="H188" s="376">
        <v>-0.61</v>
      </c>
      <c r="I188" s="376">
        <v>6291.42</v>
      </c>
      <c r="J188" s="308">
        <f t="shared" si="7"/>
        <v>629142</v>
      </c>
      <c r="K188" s="308">
        <f t="shared" si="8"/>
        <v>-2681.0719999999997</v>
      </c>
    </row>
    <row r="189" spans="1:11" x14ac:dyDescent="0.25">
      <c r="A189" s="372" t="s">
        <v>789</v>
      </c>
      <c r="B189" s="369">
        <v>170253</v>
      </c>
      <c r="C189" s="307">
        <f t="shared" si="5"/>
        <v>1992.62512008</v>
      </c>
      <c r="D189" s="291">
        <f t="shared" si="6"/>
        <v>7254790.4771856004</v>
      </c>
      <c r="E189" s="291">
        <f t="shared" si="6"/>
        <v>15183.815803241399</v>
      </c>
      <c r="F189" s="376">
        <v>4392.99</v>
      </c>
      <c r="G189" s="376">
        <v>143.34</v>
      </c>
      <c r="H189" s="376">
        <v>0.3</v>
      </c>
      <c r="I189" s="376">
        <v>6296.88</v>
      </c>
      <c r="J189" s="308">
        <f t="shared" si="7"/>
        <v>629688</v>
      </c>
      <c r="K189" s="308">
        <f t="shared" si="8"/>
        <v>1317.8969999999999</v>
      </c>
    </row>
    <row r="190" spans="1:11" x14ac:dyDescent="0.25">
      <c r="A190" s="372" t="s">
        <v>790</v>
      </c>
      <c r="B190" s="369">
        <v>170254</v>
      </c>
      <c r="C190" s="307">
        <f t="shared" si="5"/>
        <v>1994.1083659200001</v>
      </c>
      <c r="D190" s="291">
        <f t="shared" si="6"/>
        <v>7263546.6242976002</v>
      </c>
      <c r="E190" s="291">
        <f t="shared" si="6"/>
        <v>31403.244167911442</v>
      </c>
      <c r="F190" s="376">
        <v>4396.26</v>
      </c>
      <c r="G190" s="376">
        <v>143.41</v>
      </c>
      <c r="H190" s="376">
        <v>0.62</v>
      </c>
      <c r="I190" s="376">
        <v>6304.48</v>
      </c>
      <c r="J190" s="308">
        <f t="shared" si="7"/>
        <v>630448</v>
      </c>
      <c r="K190" s="308">
        <f t="shared" si="8"/>
        <v>2725.6812</v>
      </c>
    </row>
    <row r="191" spans="1:11" x14ac:dyDescent="0.25">
      <c r="A191" s="372" t="s">
        <v>791</v>
      </c>
      <c r="B191" s="369">
        <v>170255</v>
      </c>
      <c r="C191" s="307">
        <f t="shared" si="5"/>
        <v>1997.6055602400002</v>
      </c>
      <c r="D191" s="291">
        <f t="shared" si="6"/>
        <v>7269791.139738</v>
      </c>
      <c r="E191" s="291">
        <f t="shared" si="6"/>
        <v>11162.628978031082</v>
      </c>
      <c r="F191" s="376">
        <v>4403.97</v>
      </c>
      <c r="G191" s="376">
        <v>143.28</v>
      </c>
      <c r="H191" s="376">
        <v>0.22</v>
      </c>
      <c r="I191" s="376">
        <v>6309.9</v>
      </c>
      <c r="J191" s="308">
        <f t="shared" si="7"/>
        <v>630990</v>
      </c>
      <c r="K191" s="308">
        <f t="shared" si="8"/>
        <v>968.87340000000006</v>
      </c>
    </row>
    <row r="192" spans="1:11" x14ac:dyDescent="0.25">
      <c r="A192" s="372" t="s">
        <v>792</v>
      </c>
      <c r="B192" s="369">
        <v>170256</v>
      </c>
      <c r="C192" s="307">
        <f t="shared" si="5"/>
        <v>1992.1080252000002</v>
      </c>
      <c r="D192" s="291">
        <f t="shared" si="6"/>
        <v>7251633.6557267997</v>
      </c>
      <c r="E192" s="291">
        <f t="shared" si="6"/>
        <v>23275.809156796204</v>
      </c>
      <c r="F192" s="376">
        <v>4391.8500000000004</v>
      </c>
      <c r="G192" s="376">
        <v>143.31</v>
      </c>
      <c r="H192" s="376">
        <v>0.46</v>
      </c>
      <c r="I192" s="376">
        <v>6294.14</v>
      </c>
      <c r="J192" s="308">
        <f t="shared" si="7"/>
        <v>629414</v>
      </c>
      <c r="K192" s="308">
        <f t="shared" si="8"/>
        <v>2020.2510000000002</v>
      </c>
    </row>
    <row r="193" spans="1:11" x14ac:dyDescent="0.25">
      <c r="A193" s="372" t="s">
        <v>793</v>
      </c>
      <c r="B193" s="369">
        <v>170257</v>
      </c>
      <c r="C193" s="307">
        <f t="shared" si="5"/>
        <v>1999.1069497599999</v>
      </c>
      <c r="D193" s="291">
        <f t="shared" si="6"/>
        <v>7272475.5901025999</v>
      </c>
      <c r="E193" s="291">
        <f t="shared" si="6"/>
        <v>15233.2073857008</v>
      </c>
      <c r="F193" s="376">
        <v>4407.28</v>
      </c>
      <c r="G193" s="376">
        <v>143.22999999999999</v>
      </c>
      <c r="H193" s="376">
        <v>0.3</v>
      </c>
      <c r="I193" s="376">
        <v>6312.23</v>
      </c>
      <c r="J193" s="308">
        <f t="shared" si="7"/>
        <v>631223</v>
      </c>
      <c r="K193" s="308">
        <f t="shared" si="8"/>
        <v>1322.184</v>
      </c>
    </row>
    <row r="194" spans="1:11" x14ac:dyDescent="0.25">
      <c r="A194" s="372" t="s">
        <v>794</v>
      </c>
      <c r="B194" s="369">
        <v>170258</v>
      </c>
      <c r="C194" s="307">
        <f t="shared" si="5"/>
        <v>1994.6254607999997</v>
      </c>
      <c r="D194" s="291">
        <f t="shared" si="6"/>
        <v>7261046.5138721997</v>
      </c>
      <c r="E194" s="291">
        <f t="shared" si="6"/>
        <v>6586.258645184399</v>
      </c>
      <c r="F194" s="376">
        <v>4397.3999999999996</v>
      </c>
      <c r="G194" s="376">
        <v>143.32</v>
      </c>
      <c r="H194" s="376">
        <v>0.13</v>
      </c>
      <c r="I194" s="376">
        <v>6302.31</v>
      </c>
      <c r="J194" s="308">
        <f t="shared" si="7"/>
        <v>630231</v>
      </c>
      <c r="K194" s="308">
        <f t="shared" si="8"/>
        <v>571.66199999999992</v>
      </c>
    </row>
    <row r="195" spans="1:11" x14ac:dyDescent="0.25">
      <c r="A195" s="372" t="s">
        <v>795</v>
      </c>
      <c r="B195" s="369">
        <v>170259</v>
      </c>
      <c r="C195" s="307">
        <f t="shared" si="5"/>
        <v>1991.6272176800001</v>
      </c>
      <c r="D195" s="291">
        <f t="shared" si="6"/>
        <v>7253004.6840246003</v>
      </c>
      <c r="E195" s="291">
        <f t="shared" si="6"/>
        <v>10623.34824652458</v>
      </c>
      <c r="F195" s="376">
        <v>4390.79</v>
      </c>
      <c r="G195" s="376">
        <v>143.38</v>
      </c>
      <c r="H195" s="376">
        <v>0.21</v>
      </c>
      <c r="I195" s="376">
        <v>6295.33</v>
      </c>
      <c r="J195" s="308">
        <f t="shared" si="7"/>
        <v>629533</v>
      </c>
      <c r="K195" s="308">
        <f t="shared" si="8"/>
        <v>922.06589999999994</v>
      </c>
    </row>
    <row r="196" spans="1:11" x14ac:dyDescent="0.25">
      <c r="A196" s="372" t="s">
        <v>796</v>
      </c>
      <c r="B196" s="369">
        <v>170260</v>
      </c>
      <c r="C196" s="307">
        <f t="shared" si="5"/>
        <v>1986.0253564799998</v>
      </c>
      <c r="D196" s="291">
        <f t="shared" si="6"/>
        <v>7201089.9486474004</v>
      </c>
      <c r="E196" s="291">
        <f t="shared" si="6"/>
        <v>22700.288345367597</v>
      </c>
      <c r="F196" s="376">
        <v>4378.4399999999996</v>
      </c>
      <c r="G196" s="376">
        <v>142.75</v>
      </c>
      <c r="H196" s="376">
        <v>0.45</v>
      </c>
      <c r="I196" s="376">
        <v>6250.27</v>
      </c>
      <c r="J196" s="308">
        <f t="shared" si="7"/>
        <v>625027</v>
      </c>
      <c r="K196" s="308">
        <f t="shared" si="8"/>
        <v>1970.2979999999998</v>
      </c>
    </row>
    <row r="197" spans="1:11" x14ac:dyDescent="0.25">
      <c r="A197" s="372" t="s">
        <v>797</v>
      </c>
      <c r="B197" s="369">
        <v>170261</v>
      </c>
      <c r="C197" s="307">
        <f t="shared" ref="C197:C198" si="9">F197*$B$239</f>
        <v>1991.6272176800001</v>
      </c>
      <c r="D197" s="291">
        <f t="shared" ref="D197:E198" si="10">J197*$B$241</f>
        <v>7242243.8400737997</v>
      </c>
      <c r="E197" s="291">
        <f t="shared" si="10"/>
        <v>8093.9796163996798</v>
      </c>
      <c r="F197" s="376">
        <v>4390.79</v>
      </c>
      <c r="G197" s="376">
        <v>143.16</v>
      </c>
      <c r="H197" s="376">
        <v>0.16</v>
      </c>
      <c r="I197" s="376">
        <v>6285.99</v>
      </c>
      <c r="J197" s="308">
        <f t="shared" si="7"/>
        <v>628599</v>
      </c>
      <c r="K197" s="308">
        <f t="shared" si="8"/>
        <v>702.52639999999997</v>
      </c>
    </row>
    <row r="198" spans="1:11" x14ac:dyDescent="0.25">
      <c r="A198" s="372" t="s">
        <v>798</v>
      </c>
      <c r="B198" s="369">
        <v>170262</v>
      </c>
      <c r="C198" s="307">
        <f t="shared" si="9"/>
        <v>1988.6244386400001</v>
      </c>
      <c r="D198" s="291">
        <f t="shared" si="10"/>
        <v>7228821.5882508</v>
      </c>
      <c r="E198" s="291">
        <f t="shared" si="10"/>
        <v>12122.664468636962</v>
      </c>
      <c r="F198" s="376">
        <v>4384.17</v>
      </c>
      <c r="G198" s="376">
        <v>143.11000000000001</v>
      </c>
      <c r="H198" s="376">
        <v>0.24</v>
      </c>
      <c r="I198" s="376">
        <v>6274.34</v>
      </c>
      <c r="J198" s="308">
        <f t="shared" ref="J198" si="11">I198*100</f>
        <v>627434</v>
      </c>
      <c r="K198" s="308">
        <f t="shared" ref="K198" si="12">F198*H198</f>
        <v>1052.2008000000001</v>
      </c>
    </row>
    <row r="199" spans="1:11" x14ac:dyDescent="0.25">
      <c r="A199" s="374"/>
      <c r="C199" s="307"/>
      <c r="D199" s="291"/>
      <c r="E199" s="291"/>
      <c r="F199" s="375"/>
      <c r="G199" s="366"/>
      <c r="H199" s="366"/>
      <c r="I199" s="375"/>
      <c r="J199" s="308"/>
      <c r="K199" s="308"/>
    </row>
    <row r="200" spans="1:11" x14ac:dyDescent="0.25">
      <c r="A200" s="374"/>
      <c r="C200" s="307"/>
      <c r="D200" s="291"/>
      <c r="E200" s="291"/>
      <c r="F200" s="375"/>
      <c r="G200" s="366"/>
      <c r="H200" s="366"/>
      <c r="I200" s="375"/>
      <c r="J200" s="308"/>
      <c r="K200" s="308"/>
    </row>
    <row r="201" spans="1:11" x14ac:dyDescent="0.25">
      <c r="A201" s="374"/>
      <c r="C201" s="307"/>
      <c r="D201" s="291"/>
      <c r="E201" s="291"/>
      <c r="F201" s="375"/>
      <c r="G201" s="366"/>
      <c r="H201" s="366"/>
      <c r="I201" s="375"/>
      <c r="J201" s="308"/>
      <c r="K201" s="308"/>
    </row>
    <row r="202" spans="1:11" x14ac:dyDescent="0.25">
      <c r="A202" s="374"/>
      <c r="C202" s="307"/>
      <c r="D202" s="291"/>
      <c r="E202" s="291"/>
      <c r="F202" s="375"/>
      <c r="G202" s="366"/>
      <c r="H202" s="366"/>
      <c r="I202" s="375"/>
      <c r="J202" s="308"/>
      <c r="K202" s="308"/>
    </row>
    <row r="203" spans="1:11" x14ac:dyDescent="0.25">
      <c r="A203" s="374"/>
      <c r="C203" s="307"/>
      <c r="D203" s="291"/>
      <c r="E203" s="291"/>
      <c r="F203" s="375"/>
      <c r="G203" s="366"/>
      <c r="H203" s="366"/>
      <c r="I203" s="375"/>
      <c r="J203" s="308"/>
      <c r="K203" s="308"/>
    </row>
    <row r="204" spans="1:11" x14ac:dyDescent="0.25">
      <c r="A204" s="374"/>
      <c r="C204" s="307"/>
      <c r="D204" s="291"/>
      <c r="E204" s="291"/>
      <c r="F204" s="375"/>
      <c r="G204" s="366"/>
      <c r="H204" s="366"/>
      <c r="I204" s="375"/>
      <c r="J204" s="308"/>
      <c r="K204" s="308"/>
    </row>
    <row r="205" spans="1:11" x14ac:dyDescent="0.25">
      <c r="A205" s="374"/>
      <c r="C205" s="307"/>
      <c r="D205" s="291"/>
      <c r="E205" s="291"/>
      <c r="F205" s="375"/>
      <c r="G205" s="366"/>
      <c r="H205" s="366"/>
      <c r="I205" s="375"/>
      <c r="J205" s="308"/>
      <c r="K205" s="308"/>
    </row>
    <row r="206" spans="1:11" x14ac:dyDescent="0.25">
      <c r="A206" s="374"/>
      <c r="C206" s="307"/>
      <c r="D206" s="291"/>
      <c r="E206" s="291"/>
      <c r="F206" s="375"/>
      <c r="G206" s="366"/>
      <c r="H206" s="366"/>
      <c r="I206" s="375"/>
      <c r="J206" s="308"/>
      <c r="K206" s="308"/>
    </row>
    <row r="207" spans="1:11" x14ac:dyDescent="0.25">
      <c r="A207" s="374"/>
      <c r="C207" s="307"/>
      <c r="D207" s="291"/>
      <c r="E207" s="291"/>
      <c r="F207" s="375"/>
      <c r="G207" s="366"/>
      <c r="H207" s="366"/>
      <c r="I207" s="375"/>
      <c r="J207" s="308"/>
      <c r="K207" s="308"/>
    </row>
    <row r="208" spans="1:11" x14ac:dyDescent="0.25">
      <c r="A208" s="374"/>
      <c r="C208" s="307"/>
      <c r="D208" s="291"/>
      <c r="E208" s="291"/>
      <c r="F208" s="375"/>
      <c r="G208" s="366"/>
      <c r="H208" s="366"/>
      <c r="I208" s="375"/>
      <c r="J208" s="308"/>
      <c r="K208" s="308"/>
    </row>
    <row r="209" spans="1:11" x14ac:dyDescent="0.25">
      <c r="A209" s="374"/>
      <c r="C209" s="307"/>
      <c r="D209" s="291"/>
      <c r="E209" s="291"/>
      <c r="F209" s="375"/>
      <c r="G209" s="366"/>
      <c r="H209" s="366"/>
      <c r="I209" s="375"/>
      <c r="J209" s="308"/>
      <c r="K209" s="308"/>
    </row>
    <row r="210" spans="1:11" x14ac:dyDescent="0.25">
      <c r="C210" s="307"/>
      <c r="D210" s="291"/>
      <c r="E210" s="291"/>
      <c r="F210" s="367"/>
      <c r="G210" s="368"/>
      <c r="H210" s="366"/>
      <c r="I210" s="306"/>
      <c r="J210" s="308"/>
      <c r="K210" s="308"/>
    </row>
    <row r="211" spans="1:11" x14ac:dyDescent="0.25">
      <c r="A211" s="42" t="s">
        <v>189</v>
      </c>
      <c r="B211">
        <f>INDEX(B69:B210,MATCH($C$211,$C$69:$C$210,0))</f>
        <v>170160</v>
      </c>
      <c r="C211" s="23">
        <f>MAX(C69:C210)</f>
        <v>2049.6779218400002</v>
      </c>
      <c r="D211" s="23">
        <f>INDEX(D69:D210,MATCH($C$211,$C$69:$C$210,0))</f>
        <v>7416675.5075417999</v>
      </c>
      <c r="E211" s="23">
        <f>INDEX(E69:E210,MATCH($C$211,$C$69:$C$210,0))</f>
        <v>51020.624457350525</v>
      </c>
    </row>
    <row r="212" spans="1:11" x14ac:dyDescent="0.25">
      <c r="A212" s="42" t="s">
        <v>367</v>
      </c>
      <c r="B212">
        <f>INDEX(B69:B210,MATCH($D$212,$D$69:$D$210,0))</f>
        <v>170160</v>
      </c>
      <c r="C212" s="23">
        <f>INDEX(C69:C210,MATCH($D$212,$D$69:$D$210,0))</f>
        <v>2049.6779218400002</v>
      </c>
      <c r="D212" s="23">
        <f>MAX(D69:D210)</f>
        <v>7416675.5075417999</v>
      </c>
      <c r="E212" s="23">
        <f>INDEX(E69:E210,MATCH($D$212,$D$69:$D$210,0))</f>
        <v>51020.624457350525</v>
      </c>
    </row>
    <row r="213" spans="1:11" x14ac:dyDescent="0.25">
      <c r="A213" s="42" t="s">
        <v>188</v>
      </c>
    </row>
    <row r="214" spans="1:11" x14ac:dyDescent="0.25">
      <c r="A214" s="42"/>
    </row>
    <row r="215" spans="1:11" x14ac:dyDescent="0.25">
      <c r="A215" s="42"/>
    </row>
    <row r="216" spans="1:11" x14ac:dyDescent="0.25">
      <c r="A216" s="42"/>
    </row>
    <row r="217" spans="1:11" x14ac:dyDescent="0.25">
      <c r="A217" s="42"/>
    </row>
    <row r="218" spans="1:11" x14ac:dyDescent="0.25">
      <c r="A218" s="42"/>
    </row>
    <row r="219" spans="1:11" x14ac:dyDescent="0.25">
      <c r="A219" s="42"/>
    </row>
    <row r="220" spans="1:11" x14ac:dyDescent="0.25">
      <c r="A220" s="42"/>
    </row>
    <row r="221" spans="1:11" x14ac:dyDescent="0.25">
      <c r="A221" s="42"/>
    </row>
    <row r="222" spans="1:11" x14ac:dyDescent="0.25">
      <c r="A222" s="42"/>
    </row>
    <row r="223" spans="1:11" x14ac:dyDescent="0.25">
      <c r="A223" s="42"/>
    </row>
    <row r="224" spans="1:11" x14ac:dyDescent="0.25">
      <c r="A224" s="42"/>
    </row>
    <row r="225" spans="1:6" x14ac:dyDescent="0.25">
      <c r="A225" s="42"/>
    </row>
    <row r="226" spans="1:6" x14ac:dyDescent="0.25">
      <c r="A226" s="42"/>
    </row>
    <row r="227" spans="1:6" x14ac:dyDescent="0.25">
      <c r="A227" s="42"/>
    </row>
    <row r="228" spans="1:6" x14ac:dyDescent="0.25">
      <c r="A228" s="42"/>
    </row>
    <row r="229" spans="1:6" x14ac:dyDescent="0.25">
      <c r="A229" s="42"/>
    </row>
    <row r="230" spans="1:6" x14ac:dyDescent="0.25">
      <c r="A230" s="42"/>
    </row>
    <row r="231" spans="1:6" x14ac:dyDescent="0.25">
      <c r="A231" s="42"/>
    </row>
    <row r="232" spans="1:6" x14ac:dyDescent="0.25">
      <c r="A232" s="42"/>
    </row>
    <row r="233" spans="1:6" x14ac:dyDescent="0.25">
      <c r="A233" s="42"/>
    </row>
    <row r="234" spans="1:6" x14ac:dyDescent="0.25">
      <c r="A234" s="42"/>
    </row>
    <row r="235" spans="1:6" x14ac:dyDescent="0.25">
      <c r="A235" s="42"/>
    </row>
    <row r="236" spans="1:6" x14ac:dyDescent="0.25">
      <c r="A236" s="42"/>
    </row>
    <row r="237" spans="1:6" x14ac:dyDescent="0.25">
      <c r="A237" s="42"/>
    </row>
    <row r="239" spans="1:6" x14ac:dyDescent="0.25">
      <c r="A239" s="42" t="s">
        <v>164</v>
      </c>
      <c r="B239">
        <v>0.453592</v>
      </c>
      <c r="C239" t="s">
        <v>165</v>
      </c>
      <c r="D239" s="42" t="s">
        <v>279</v>
      </c>
      <c r="E239">
        <f>1/B239</f>
        <v>2.2046244201837775</v>
      </c>
      <c r="F239" s="43" t="s">
        <v>282</v>
      </c>
    </row>
    <row r="240" spans="1:6" x14ac:dyDescent="0.25">
      <c r="A240" s="42" t="s">
        <v>166</v>
      </c>
      <c r="B240">
        <v>25.4</v>
      </c>
      <c r="C240" t="s">
        <v>167</v>
      </c>
      <c r="D240" s="42" t="s">
        <v>280</v>
      </c>
      <c r="E240">
        <f>1/B240</f>
        <v>3.937007874015748E-2</v>
      </c>
      <c r="F240" s="43" t="s">
        <v>283</v>
      </c>
    </row>
    <row r="241" spans="1:10" x14ac:dyDescent="0.25">
      <c r="A241" s="42" t="s">
        <v>186</v>
      </c>
      <c r="B241">
        <v>11.5212462</v>
      </c>
      <c r="C241" t="s">
        <v>187</v>
      </c>
      <c r="D241" s="42" t="s">
        <v>281</v>
      </c>
      <c r="E241">
        <f>1/B241</f>
        <v>8.6796166199451588E-2</v>
      </c>
      <c r="F241" s="43" t="s">
        <v>284</v>
      </c>
    </row>
    <row r="244" spans="1:10" ht="15.75" thickBot="1" x14ac:dyDescent="0.3"/>
    <row r="245" spans="1:10" x14ac:dyDescent="0.25">
      <c r="A245" s="791" t="s">
        <v>51</v>
      </c>
      <c r="B245" s="793" t="s">
        <v>52</v>
      </c>
      <c r="C245" s="793"/>
      <c r="D245" s="154" t="s">
        <v>53</v>
      </c>
      <c r="E245" s="154" t="s">
        <v>55</v>
      </c>
      <c r="F245" s="154" t="s">
        <v>57</v>
      </c>
      <c r="G245" s="154" t="s">
        <v>60</v>
      </c>
      <c r="H245" s="154" t="s">
        <v>62</v>
      </c>
      <c r="I245" s="155" t="s">
        <v>92</v>
      </c>
      <c r="J245" s="156" t="s">
        <v>93</v>
      </c>
    </row>
    <row r="246" spans="1:10" ht="15.75" thickBot="1" x14ac:dyDescent="0.3">
      <c r="A246" s="792"/>
      <c r="B246" s="689"/>
      <c r="C246" s="689"/>
      <c r="D246" s="40" t="s">
        <v>285</v>
      </c>
      <c r="E246" s="40" t="s">
        <v>56</v>
      </c>
      <c r="F246" s="40" t="s">
        <v>286</v>
      </c>
      <c r="G246" s="40" t="s">
        <v>61</v>
      </c>
      <c r="H246" s="40" t="s">
        <v>286</v>
      </c>
      <c r="I246" s="39" t="s">
        <v>216</v>
      </c>
      <c r="J246" s="41" t="s">
        <v>216</v>
      </c>
    </row>
    <row r="247" spans="1:10" ht="24.95" customHeight="1" thickTop="1" x14ac:dyDescent="0.25">
      <c r="A247" s="121">
        <v>23</v>
      </c>
      <c r="B247" s="683" t="s">
        <v>72</v>
      </c>
      <c r="C247" s="683"/>
      <c r="D247" s="28" t="e">
        <f>'Chart E W&amp;B Form'!D26*E239</f>
        <v>#VALUE!</v>
      </c>
      <c r="E247" s="38"/>
      <c r="F247" s="28" t="e">
        <f>'Chart E W&amp;B Form'!F26*E241</f>
        <v>#VALUE!</v>
      </c>
      <c r="G247" s="38"/>
      <c r="H247" s="28" t="e">
        <f>'Chart E W&amp;B Form'!H26*E241</f>
        <v>#VALUE!</v>
      </c>
      <c r="I247" s="28" t="e">
        <f>'Chart E W&amp;B Form'!I26*E240</f>
        <v>#VALUE!</v>
      </c>
      <c r="J247" s="29" t="e">
        <f>'Chart E W&amp;B Form'!J26*E240</f>
        <v>#VALUE!</v>
      </c>
    </row>
    <row r="248" spans="1:10" ht="24.95" customHeight="1" x14ac:dyDescent="0.25">
      <c r="A248" s="121">
        <v>25</v>
      </c>
      <c r="B248" s="683" t="s">
        <v>73</v>
      </c>
      <c r="C248" s="683"/>
      <c r="D248" s="28" t="e">
        <f>'Chart E W&amp;B Form'!D28*E239</f>
        <v>#VALUE!</v>
      </c>
      <c r="E248" s="38"/>
      <c r="F248" s="28" t="e">
        <f>'Chart E W&amp;B Form'!F28*E241</f>
        <v>#VALUE!</v>
      </c>
      <c r="G248" s="38"/>
      <c r="H248" s="28" t="e">
        <f>'Chart E W&amp;B Form'!H28*E241</f>
        <v>#VALUE!</v>
      </c>
      <c r="I248" s="28" t="e">
        <f>'Chart E W&amp;B Form'!I28*E240</f>
        <v>#VALUE!</v>
      </c>
      <c r="J248" s="29" t="e">
        <f>'Chart E W&amp;B Form'!J28*E240</f>
        <v>#VALUE!</v>
      </c>
    </row>
    <row r="249" spans="1:10" ht="24.95" customHeight="1" x14ac:dyDescent="0.25">
      <c r="A249" s="121">
        <v>28</v>
      </c>
      <c r="B249" s="683" t="s">
        <v>109</v>
      </c>
      <c r="C249" s="683"/>
      <c r="D249" s="28" t="str">
        <f>IF('Chart E W&amp;B Form'!D31="","",'Chart E W&amp;B Form'!D31*E239)</f>
        <v/>
      </c>
      <c r="E249" s="38"/>
      <c r="F249" s="28" t="str">
        <f>IF('Chart E W&amp;B Form'!F31="","",'Chart E W&amp;B Form'!F31*E241)</f>
        <v/>
      </c>
      <c r="G249" s="38"/>
      <c r="H249" s="28" t="str">
        <f>IF('Chart E W&amp;B Form'!H31="","",'Chart E W&amp;B Form'!H31*E241)</f>
        <v/>
      </c>
      <c r="I249" s="28" t="str">
        <f>IF('Chart E W&amp;B Form'!I31="","",'Chart E W&amp;B Form'!I31*E240)</f>
        <v/>
      </c>
      <c r="J249" s="29" t="str">
        <f>IF('Chart E W&amp;B Form'!J31="","",'Chart E W&amp;B Form'!J31*E240)</f>
        <v/>
      </c>
    </row>
    <row r="250" spans="1:10" ht="24.95" customHeight="1" thickBot="1" x14ac:dyDescent="0.3">
      <c r="A250" s="30">
        <v>28</v>
      </c>
      <c r="B250" s="682" t="s">
        <v>104</v>
      </c>
      <c r="C250" s="682"/>
      <c r="D250" s="44" t="str">
        <f>IF('Chart E W&amp;B Form'!D33="","",'Chart E W&amp;B Form'!D33*E239)</f>
        <v/>
      </c>
      <c r="E250" s="151"/>
      <c r="F250" s="44" t="str">
        <f>IF('Chart E W&amp;B Form'!F33="","",'Chart E W&amp;B Form'!F33*E241)</f>
        <v/>
      </c>
      <c r="G250" s="151"/>
      <c r="H250" s="44" t="str">
        <f>IF('Chart E W&amp;B Form'!H33="","",'Chart E W&amp;B Form'!H33*E241)</f>
        <v/>
      </c>
      <c r="I250" s="44" t="str">
        <f>IF('Chart E W&amp;B Form'!I33="","",'Chart E W&amp;B Form'!I33*E240)</f>
        <v/>
      </c>
      <c r="J250" s="152" t="str">
        <f>IF('Chart E W&amp;B Form'!J33="","",'Chart E W&amp;B Form'!J33*E240)</f>
        <v/>
      </c>
    </row>
    <row r="253" spans="1:10" x14ac:dyDescent="0.25">
      <c r="A253" t="s">
        <v>519</v>
      </c>
      <c r="B253" t="str">
        <f>IF(ISBLANK('Start Here'!F5),"",'Start Here'!F5)</f>
        <v>Copilot (Left)</v>
      </c>
    </row>
    <row r="254" spans="1:10" x14ac:dyDescent="0.25">
      <c r="A254" t="s">
        <v>520</v>
      </c>
      <c r="B254" t="str">
        <f>IF(ISBLANK('Start Here'!F6),"",'Start Here'!F6)</f>
        <v>Pilot (Right)</v>
      </c>
      <c r="D254" t="str">
        <f>TEXT(B254,1)</f>
        <v>Pilot (Right)</v>
      </c>
    </row>
    <row r="255" spans="1:10" x14ac:dyDescent="0.25">
      <c r="A255" t="s">
        <v>521</v>
      </c>
      <c r="B255" t="str">
        <f>IF(ISBLANK('Start Here'!F7),"",'Start Here'!F7)</f>
        <v>Cabin / Middle</v>
      </c>
    </row>
    <row r="256" spans="1:10" x14ac:dyDescent="0.25">
      <c r="A256" t="s">
        <v>522</v>
      </c>
      <c r="B256" t="str">
        <f>IF(ISBLANK('Start Here'!F8),"",'Start Here'!F8)</f>
        <v>Cabin / Right</v>
      </c>
    </row>
    <row r="257" spans="1:8" x14ac:dyDescent="0.25">
      <c r="A257" t="s">
        <v>523</v>
      </c>
      <c r="B257" t="str">
        <f>IF(ISBLANK('Start Here'!F9),"",'Start Here'!F9)</f>
        <v>Cabin / Left</v>
      </c>
    </row>
    <row r="261" spans="1:8" x14ac:dyDescent="0.25">
      <c r="B261" t="s">
        <v>373</v>
      </c>
      <c r="C261">
        <v>2</v>
      </c>
      <c r="D261" t="s">
        <v>150</v>
      </c>
    </row>
    <row r="262" spans="1:8" x14ac:dyDescent="0.25">
      <c r="B262" s="42" t="s">
        <v>374</v>
      </c>
      <c r="C262">
        <v>5</v>
      </c>
      <c r="D262" t="s">
        <v>150</v>
      </c>
    </row>
    <row r="263" spans="1:8" x14ac:dyDescent="0.25">
      <c r="B263" s="42" t="s">
        <v>375</v>
      </c>
      <c r="C263">
        <v>14</v>
      </c>
      <c r="D263" t="s">
        <v>150</v>
      </c>
    </row>
    <row r="265" spans="1:8" x14ac:dyDescent="0.25">
      <c r="E265" t="s">
        <v>381</v>
      </c>
    </row>
    <row r="267" spans="1:8" x14ac:dyDescent="0.25">
      <c r="F267" t="s">
        <v>372</v>
      </c>
      <c r="G267" t="s">
        <v>382</v>
      </c>
      <c r="H267" t="s">
        <v>383</v>
      </c>
    </row>
    <row r="268" spans="1:8" x14ac:dyDescent="0.25">
      <c r="E268" s="42" t="s">
        <v>180</v>
      </c>
      <c r="F268">
        <f>IF(ISBLANK('Start Here'!B5),0,VLOOKUP('Start Here'!B5,'Crew W&amp;B'!$A$4:$E$62,5,FALSE))</f>
        <v>0</v>
      </c>
      <c r="G268">
        <f>IF('Start Here'!D5='Reference Tables'!$B$262,'Reference Tables'!$C$262,IF('Start Here'!D5='Reference Tables'!$B$263,'Reference Tables'!$C$263,0))+$C$261</f>
        <v>7</v>
      </c>
      <c r="H268">
        <f>IF(F268=0,0,SUM(F268:G268))</f>
        <v>0</v>
      </c>
    </row>
    <row r="269" spans="1:8" x14ac:dyDescent="0.25">
      <c r="E269" s="42" t="s">
        <v>183</v>
      </c>
      <c r="F269">
        <f>IF(ISBLANK('Start Here'!B6),0,VLOOKUP('Start Here'!B6,'Crew W&amp;B'!$A$4:$E$62,5,FALSE))</f>
        <v>0</v>
      </c>
      <c r="G269">
        <f>IF('Start Here'!D6='Reference Tables'!$B$262,'Reference Tables'!$C$262,IF('Start Here'!D6='Reference Tables'!$B$263,'Reference Tables'!$C$263,0))+$C$261</f>
        <v>7</v>
      </c>
      <c r="H269">
        <f>IF(F269=0,0,SUM(F269:G269))</f>
        <v>0</v>
      </c>
    </row>
    <row r="270" spans="1:8" x14ac:dyDescent="0.25">
      <c r="E270" s="42" t="s">
        <v>184</v>
      </c>
      <c r="F270">
        <f>VLOOKUP('Start Here'!B7,'Crew W&amp;B'!$A$8:$E$62,5,FALSE)</f>
        <v>0</v>
      </c>
      <c r="G270">
        <f>IF('Start Here'!D7='Reference Tables'!$B$262,'Reference Tables'!$C$262,IF('Start Here'!D7='Reference Tables'!$B$263,'Reference Tables'!$C$263,0))+$C$261</f>
        <v>2</v>
      </c>
      <c r="H270">
        <f>IF(F270=0,0,SUM(F270:G270))</f>
        <v>0</v>
      </c>
    </row>
    <row r="271" spans="1:8" x14ac:dyDescent="0.25">
      <c r="E271" s="42" t="s">
        <v>163</v>
      </c>
      <c r="F271">
        <f>VLOOKUP('Start Here'!B8,'Crew W&amp;B'!$A$8:$E$62,5,FALSE)</f>
        <v>0</v>
      </c>
      <c r="G271">
        <f>IF('Start Here'!D8='Reference Tables'!$B$262,'Reference Tables'!$C$262,IF('Start Here'!D8='Reference Tables'!$B$263,'Reference Tables'!$C$263,0))+$C$261</f>
        <v>2</v>
      </c>
      <c r="H271">
        <f>IF(F271=0,0,SUM(F271:G271))</f>
        <v>0</v>
      </c>
    </row>
    <row r="272" spans="1:8" x14ac:dyDescent="0.25">
      <c r="E272" s="42" t="s">
        <v>163</v>
      </c>
      <c r="F272">
        <f>VLOOKUP('Start Here'!B9,'Crew W&amp;B'!$A$8:$E$62,5,FALSE)</f>
        <v>0</v>
      </c>
      <c r="G272">
        <f>IF('Start Here'!D9='Reference Tables'!$B$262,'Reference Tables'!$C$262,IF('Start Here'!D9='Reference Tables'!$B$263,'Reference Tables'!$C$263,0))+$C$261</f>
        <v>2</v>
      </c>
      <c r="H272">
        <f>IF(F272=0,0,SUM(F272:G272))</f>
        <v>0</v>
      </c>
    </row>
    <row r="274" spans="1:8" x14ac:dyDescent="0.25">
      <c r="E274" t="s">
        <v>524</v>
      </c>
    </row>
    <row r="276" spans="1:8" x14ac:dyDescent="0.25">
      <c r="H276" t="s">
        <v>383</v>
      </c>
    </row>
    <row r="277" spans="1:8" x14ac:dyDescent="0.25">
      <c r="E277" s="42" t="s">
        <v>180</v>
      </c>
      <c r="H277">
        <f>IF('Start Here'!B5="Other",'Start Here'!B49,'Reference Tables'!H268)</f>
        <v>0</v>
      </c>
    </row>
    <row r="278" spans="1:8" x14ac:dyDescent="0.25">
      <c r="E278" s="42" t="s">
        <v>183</v>
      </c>
      <c r="H278">
        <f>IF('Start Here'!B6="Other",'Start Here'!B50,'Reference Tables'!H269)</f>
        <v>0</v>
      </c>
    </row>
    <row r="279" spans="1:8" x14ac:dyDescent="0.25">
      <c r="E279" s="42" t="s">
        <v>184</v>
      </c>
      <c r="H279">
        <f>IF(ISBLANK('Start Here'!B7),"",IF(NOT('Start Here'!B7="Other"),'Reference Tables'!H270,'Start Here'!B51))</f>
        <v>0</v>
      </c>
    </row>
    <row r="280" spans="1:8" x14ac:dyDescent="0.25">
      <c r="E280" s="42" t="s">
        <v>163</v>
      </c>
      <c r="H280">
        <f>IF(ISBLANK('Start Here'!B8),"",IF(NOT('Start Here'!B8="Other"),'Reference Tables'!H271,'Start Here'!B52))</f>
        <v>0</v>
      </c>
    </row>
    <row r="281" spans="1:8" x14ac:dyDescent="0.25">
      <c r="E281" s="42" t="s">
        <v>163</v>
      </c>
      <c r="H281">
        <f>IF(ISBLANK('Start Here'!B9),"",IF(NOT('Start Here'!B9="Other"),'Reference Tables'!H272,'Start Here'!B53))</f>
        <v>0</v>
      </c>
    </row>
    <row r="287" spans="1:8" x14ac:dyDescent="0.25">
      <c r="A287">
        <v>10</v>
      </c>
      <c r="B287">
        <v>170161</v>
      </c>
      <c r="C287" s="306">
        <v>4349.6000000000004</v>
      </c>
      <c r="D287">
        <v>144.08000000000001</v>
      </c>
      <c r="E287">
        <v>0.21</v>
      </c>
      <c r="F287" s="306">
        <v>6266.73</v>
      </c>
    </row>
    <row r="288" spans="1:8" x14ac:dyDescent="0.25">
      <c r="A288">
        <v>11</v>
      </c>
      <c r="B288">
        <v>170162</v>
      </c>
      <c r="C288" s="306">
        <v>4244.8999999999996</v>
      </c>
      <c r="D288">
        <v>144.66</v>
      </c>
      <c r="E288">
        <v>-1.28</v>
      </c>
      <c r="F288" s="306">
        <v>6140.61</v>
      </c>
    </row>
    <row r="289" spans="1:6" x14ac:dyDescent="0.25">
      <c r="A289">
        <v>13</v>
      </c>
      <c r="B289">
        <v>170164</v>
      </c>
      <c r="C289" s="306">
        <v>4367.7</v>
      </c>
      <c r="D289">
        <v>144.36000000000001</v>
      </c>
      <c r="E289">
        <v>-0.12</v>
      </c>
      <c r="F289" s="306">
        <v>6305.07</v>
      </c>
    </row>
    <row r="290" spans="1:6" x14ac:dyDescent="0.25">
      <c r="A290">
        <v>14</v>
      </c>
      <c r="B290">
        <v>170165</v>
      </c>
      <c r="C290" s="306">
        <v>4333</v>
      </c>
      <c r="D290">
        <v>144.33000000000001</v>
      </c>
      <c r="E290">
        <v>-0.15</v>
      </c>
      <c r="F290" s="306">
        <v>6253.94</v>
      </c>
    </row>
    <row r="291" spans="1:6" x14ac:dyDescent="0.25">
      <c r="A291">
        <v>15</v>
      </c>
      <c r="B291">
        <v>170166</v>
      </c>
      <c r="C291" s="306">
        <v>4362.8</v>
      </c>
      <c r="D291">
        <v>144.04</v>
      </c>
      <c r="E291">
        <v>0.01</v>
      </c>
      <c r="F291" s="306">
        <v>6284.2</v>
      </c>
    </row>
    <row r="292" spans="1:6" x14ac:dyDescent="0.25">
      <c r="A292">
        <v>16</v>
      </c>
      <c r="B292">
        <v>170167</v>
      </c>
      <c r="C292" s="306">
        <v>4373.2</v>
      </c>
      <c r="D292">
        <v>144.18</v>
      </c>
      <c r="E292">
        <v>0.14000000000000001</v>
      </c>
      <c r="F292" s="306">
        <v>6305.43</v>
      </c>
    </row>
    <row r="293" spans="1:6" x14ac:dyDescent="0.25">
      <c r="A293">
        <v>17</v>
      </c>
      <c r="B293">
        <v>170168</v>
      </c>
      <c r="C293" s="306">
        <v>4368.3</v>
      </c>
      <c r="D293">
        <v>144.51</v>
      </c>
      <c r="E293">
        <v>-0.35</v>
      </c>
      <c r="F293" s="306">
        <v>6312.59</v>
      </c>
    </row>
    <row r="294" spans="1:6" x14ac:dyDescent="0.25">
      <c r="A294">
        <v>260</v>
      </c>
      <c r="B294">
        <v>170169</v>
      </c>
      <c r="C294" s="306">
        <v>4362.8</v>
      </c>
      <c r="D294">
        <v>144.16999999999999</v>
      </c>
      <c r="E294">
        <v>-0.15</v>
      </c>
      <c r="F294" s="306">
        <v>6290.03</v>
      </c>
    </row>
    <row r="295" spans="1:6" x14ac:dyDescent="0.25">
      <c r="A295">
        <v>610</v>
      </c>
      <c r="B295">
        <v>170138</v>
      </c>
      <c r="C295" s="306">
        <v>4366.1000000000004</v>
      </c>
      <c r="D295">
        <v>144.36000000000001</v>
      </c>
      <c r="E295">
        <v>-0.02</v>
      </c>
      <c r="F295" s="306">
        <v>6302.88</v>
      </c>
    </row>
    <row r="296" spans="1:6" x14ac:dyDescent="0.25">
      <c r="A296">
        <v>611</v>
      </c>
      <c r="B296">
        <v>170139</v>
      </c>
      <c r="C296" s="306">
        <v>4387.1000000000004</v>
      </c>
      <c r="D296">
        <v>144.4</v>
      </c>
      <c r="E296">
        <v>0.05</v>
      </c>
      <c r="F296" s="306">
        <v>6335.11</v>
      </c>
    </row>
    <row r="297" spans="1:6" x14ac:dyDescent="0.25">
      <c r="A297">
        <v>612</v>
      </c>
      <c r="B297">
        <v>170140</v>
      </c>
      <c r="C297" s="306">
        <v>4383.8</v>
      </c>
      <c r="D297">
        <v>144.46</v>
      </c>
      <c r="E297">
        <v>-0.1</v>
      </c>
      <c r="F297" s="306">
        <v>6332.78</v>
      </c>
    </row>
    <row r="298" spans="1:6" x14ac:dyDescent="0.25">
      <c r="A298">
        <v>613</v>
      </c>
      <c r="B298">
        <v>170141</v>
      </c>
      <c r="C298" s="306">
        <v>4362.8</v>
      </c>
      <c r="D298">
        <v>143.75</v>
      </c>
      <c r="E298">
        <v>0.32</v>
      </c>
      <c r="F298" s="306">
        <v>6271.4</v>
      </c>
    </row>
    <row r="299" spans="1:6" x14ac:dyDescent="0.25">
      <c r="A299">
        <v>614</v>
      </c>
      <c r="B299">
        <v>170142</v>
      </c>
      <c r="C299" s="306">
        <v>4345.3999999999996</v>
      </c>
      <c r="D299">
        <v>144.28</v>
      </c>
      <c r="E299">
        <v>-2.04</v>
      </c>
      <c r="F299" s="306">
        <v>6269.39</v>
      </c>
    </row>
    <row r="300" spans="1:6" x14ac:dyDescent="0.25">
      <c r="A300">
        <v>615</v>
      </c>
      <c r="B300">
        <v>170143</v>
      </c>
      <c r="C300" s="306">
        <v>4348.5</v>
      </c>
      <c r="D300">
        <v>144.41999999999999</v>
      </c>
      <c r="E300">
        <v>0.28999999999999998</v>
      </c>
      <c r="F300" s="306">
        <v>6279.96</v>
      </c>
    </row>
    <row r="301" spans="1:6" x14ac:dyDescent="0.25">
      <c r="A301">
        <v>616</v>
      </c>
      <c r="B301">
        <v>170144</v>
      </c>
      <c r="C301" s="306">
        <v>4373.2</v>
      </c>
      <c r="D301">
        <v>144.29</v>
      </c>
      <c r="E301">
        <v>-2</v>
      </c>
      <c r="F301" s="306">
        <v>6310.11</v>
      </c>
    </row>
    <row r="302" spans="1:6" x14ac:dyDescent="0.25">
      <c r="A302">
        <v>617</v>
      </c>
      <c r="B302">
        <v>170145</v>
      </c>
      <c r="C302" s="306">
        <v>4362.8</v>
      </c>
      <c r="D302">
        <v>144.44</v>
      </c>
      <c r="E302">
        <v>0.51</v>
      </c>
      <c r="F302" s="306">
        <v>6301.71</v>
      </c>
    </row>
    <row r="303" spans="1:6" x14ac:dyDescent="0.25">
      <c r="A303">
        <v>624</v>
      </c>
      <c r="B303">
        <v>170152</v>
      </c>
      <c r="C303" s="306">
        <v>4348.5</v>
      </c>
      <c r="D303">
        <v>144.44999999999999</v>
      </c>
      <c r="E303">
        <v>-0.15</v>
      </c>
      <c r="F303" s="306">
        <v>6281.2</v>
      </c>
    </row>
    <row r="304" spans="1:6" x14ac:dyDescent="0.25">
      <c r="A304">
        <v>625</v>
      </c>
      <c r="B304">
        <v>170153</v>
      </c>
      <c r="C304" s="306">
        <v>4463.8</v>
      </c>
      <c r="D304">
        <v>143.25</v>
      </c>
      <c r="E304">
        <v>0.91</v>
      </c>
      <c r="F304" s="306">
        <v>6394.38</v>
      </c>
    </row>
    <row r="305" spans="1:6" x14ac:dyDescent="0.25">
      <c r="A305">
        <v>626</v>
      </c>
      <c r="B305">
        <v>170154</v>
      </c>
      <c r="C305" s="306">
        <v>4348.5</v>
      </c>
      <c r="D305">
        <v>144.15</v>
      </c>
      <c r="E305">
        <v>0.04</v>
      </c>
      <c r="F305" s="306">
        <v>6268.29</v>
      </c>
    </row>
    <row r="306" spans="1:6" x14ac:dyDescent="0.25">
      <c r="A306">
        <v>627</v>
      </c>
      <c r="B306">
        <v>170155</v>
      </c>
      <c r="C306" s="306">
        <v>4358.3999999999996</v>
      </c>
      <c r="D306">
        <v>144.38</v>
      </c>
      <c r="E306">
        <v>0.04</v>
      </c>
      <c r="F306" s="306">
        <v>6292.77</v>
      </c>
    </row>
    <row r="307" spans="1:6" x14ac:dyDescent="0.25">
      <c r="A307">
        <v>628</v>
      </c>
      <c r="B307">
        <v>170156</v>
      </c>
      <c r="C307" s="306">
        <v>4338.7</v>
      </c>
      <c r="D307">
        <v>143.87</v>
      </c>
      <c r="E307">
        <v>0.24</v>
      </c>
      <c r="F307" s="306">
        <v>6241.98</v>
      </c>
    </row>
    <row r="308" spans="1:6" x14ac:dyDescent="0.25">
      <c r="A308">
        <v>629</v>
      </c>
      <c r="B308">
        <v>170157</v>
      </c>
      <c r="C308" s="306">
        <v>4239.3999999999996</v>
      </c>
      <c r="D308">
        <v>144.88999999999999</v>
      </c>
      <c r="E308">
        <v>-0.43</v>
      </c>
      <c r="F308" s="306">
        <v>6142.63</v>
      </c>
    </row>
    <row r="309" spans="1:6" x14ac:dyDescent="0.25">
      <c r="A309">
        <v>630</v>
      </c>
      <c r="B309">
        <v>170158</v>
      </c>
      <c r="C309" s="306">
        <v>4355.2</v>
      </c>
      <c r="D309">
        <v>143.86000000000001</v>
      </c>
      <c r="E309">
        <v>0.12</v>
      </c>
      <c r="F309" s="306">
        <v>6265.28</v>
      </c>
    </row>
    <row r="310" spans="1:6" x14ac:dyDescent="0.25">
      <c r="A310">
        <v>633</v>
      </c>
      <c r="B310">
        <v>170170</v>
      </c>
      <c r="C310" s="306">
        <v>4363.8999999999996</v>
      </c>
      <c r="D310">
        <v>144.41999999999999</v>
      </c>
      <c r="E310">
        <v>-0.12</v>
      </c>
      <c r="F310" s="306">
        <v>6302.48</v>
      </c>
    </row>
    <row r="311" spans="1:6" x14ac:dyDescent="0.25">
      <c r="A311">
        <v>634</v>
      </c>
      <c r="B311">
        <v>170171</v>
      </c>
      <c r="C311" s="306">
        <v>4367.2</v>
      </c>
      <c r="D311">
        <v>144.38999999999999</v>
      </c>
      <c r="E311">
        <v>0.02</v>
      </c>
      <c r="F311" s="306">
        <v>6305.97</v>
      </c>
    </row>
    <row r="312" spans="1:6" x14ac:dyDescent="0.25">
      <c r="A312">
        <v>635</v>
      </c>
      <c r="B312">
        <v>170172</v>
      </c>
      <c r="C312" s="306">
        <v>4365</v>
      </c>
      <c r="D312">
        <v>143.97999999999999</v>
      </c>
      <c r="E312">
        <v>0.03</v>
      </c>
      <c r="F312" s="306">
        <v>6284.58</v>
      </c>
    </row>
    <row r="313" spans="1:6" x14ac:dyDescent="0.25">
      <c r="A313">
        <v>636</v>
      </c>
      <c r="B313">
        <v>170173</v>
      </c>
      <c r="C313" s="306">
        <v>4336.3999999999996</v>
      </c>
      <c r="D313">
        <v>144.27000000000001</v>
      </c>
      <c r="E313">
        <v>-0.22</v>
      </c>
      <c r="F313" s="306">
        <v>6256.27</v>
      </c>
    </row>
    <row r="314" spans="1:6" x14ac:dyDescent="0.25">
      <c r="A314">
        <v>637</v>
      </c>
      <c r="B314">
        <v>170174</v>
      </c>
      <c r="C314" s="306">
        <v>4482</v>
      </c>
      <c r="D314">
        <v>143.29</v>
      </c>
      <c r="E314">
        <v>0.88</v>
      </c>
      <c r="F314" s="306">
        <v>6422.07</v>
      </c>
    </row>
    <row r="315" spans="1:6" x14ac:dyDescent="0.25">
      <c r="A315">
        <v>638</v>
      </c>
      <c r="B315">
        <v>170175</v>
      </c>
      <c r="C315" s="306">
        <v>4358.3999999999996</v>
      </c>
      <c r="D315">
        <v>144.33000000000001</v>
      </c>
      <c r="E315">
        <v>-0.14000000000000001</v>
      </c>
      <c r="F315" s="306">
        <v>6290.44</v>
      </c>
    </row>
    <row r="316" spans="1:6" x14ac:dyDescent="0.25">
      <c r="A316">
        <v>639</v>
      </c>
      <c r="B316">
        <v>170176</v>
      </c>
      <c r="C316" s="306">
        <v>4362.8999999999996</v>
      </c>
      <c r="D316">
        <v>143.57</v>
      </c>
      <c r="E316">
        <v>0.71</v>
      </c>
      <c r="F316" s="306">
        <v>6263.69</v>
      </c>
    </row>
    <row r="317" spans="1:6" x14ac:dyDescent="0.25">
      <c r="A317">
        <v>640</v>
      </c>
      <c r="B317">
        <v>170177</v>
      </c>
      <c r="C317" s="306">
        <v>4263.6000000000004</v>
      </c>
      <c r="D317">
        <v>144.25</v>
      </c>
      <c r="E317">
        <v>-0.36</v>
      </c>
      <c r="F317" s="306">
        <v>6150.27</v>
      </c>
    </row>
    <row r="318" spans="1:6" x14ac:dyDescent="0.25">
      <c r="A318">
        <v>641</v>
      </c>
      <c r="B318">
        <v>170178</v>
      </c>
      <c r="C318" s="306">
        <v>4252.6000000000004</v>
      </c>
      <c r="D318">
        <v>144.31</v>
      </c>
      <c r="E318">
        <v>-0.09</v>
      </c>
      <c r="F318" s="306">
        <v>6136.69</v>
      </c>
    </row>
    <row r="319" spans="1:6" x14ac:dyDescent="0.25">
      <c r="A319">
        <v>642</v>
      </c>
      <c r="B319">
        <v>170179</v>
      </c>
      <c r="C319" s="306">
        <v>4361.8</v>
      </c>
      <c r="D319">
        <v>143.61000000000001</v>
      </c>
      <c r="E319">
        <v>0.25</v>
      </c>
      <c r="F319" s="306">
        <v>6264.13</v>
      </c>
    </row>
    <row r="320" spans="1:6" x14ac:dyDescent="0.25">
      <c r="A320">
        <v>643</v>
      </c>
      <c r="B320">
        <v>170180</v>
      </c>
      <c r="C320" s="306">
        <v>4246</v>
      </c>
      <c r="D320">
        <v>144.75</v>
      </c>
      <c r="E320">
        <v>-0.81</v>
      </c>
      <c r="F320" s="306">
        <v>6146.05</v>
      </c>
    </row>
    <row r="321" spans="1:6" x14ac:dyDescent="0.25">
      <c r="A321">
        <v>644</v>
      </c>
      <c r="B321">
        <v>170181</v>
      </c>
      <c r="C321" s="306">
        <v>4345.3</v>
      </c>
      <c r="D321">
        <v>143.65</v>
      </c>
      <c r="E321">
        <v>0.39</v>
      </c>
      <c r="F321" s="306">
        <v>6241.96</v>
      </c>
    </row>
    <row r="322" spans="1:6" x14ac:dyDescent="0.25">
      <c r="A322">
        <v>700</v>
      </c>
      <c r="B322">
        <v>170182</v>
      </c>
      <c r="C322" s="306">
        <v>4367.3</v>
      </c>
      <c r="D322">
        <v>143.79</v>
      </c>
      <c r="E322">
        <v>0.03</v>
      </c>
      <c r="F322" s="306">
        <v>6279.63</v>
      </c>
    </row>
    <row r="323" spans="1:6" x14ac:dyDescent="0.25">
      <c r="A323">
        <v>701</v>
      </c>
      <c r="B323">
        <v>170183</v>
      </c>
      <c r="C323" s="306">
        <v>4377.2</v>
      </c>
      <c r="D323">
        <v>142.56</v>
      </c>
      <c r="E323">
        <v>0.83</v>
      </c>
      <c r="F323" s="306">
        <v>6240.38</v>
      </c>
    </row>
    <row r="324" spans="1:6" x14ac:dyDescent="0.25">
      <c r="A324">
        <v>702</v>
      </c>
      <c r="B324">
        <v>170184</v>
      </c>
      <c r="C324" s="306">
        <v>4364</v>
      </c>
      <c r="D324">
        <v>143.47</v>
      </c>
      <c r="E324">
        <v>0.76</v>
      </c>
      <c r="F324" s="306">
        <v>6260.97</v>
      </c>
    </row>
    <row r="325" spans="1:6" x14ac:dyDescent="0.25">
      <c r="A325">
        <v>703</v>
      </c>
      <c r="B325">
        <v>170185</v>
      </c>
      <c r="C325" s="306">
        <v>4357.6000000000004</v>
      </c>
      <c r="D325">
        <v>143.97</v>
      </c>
      <c r="E325">
        <v>0.19</v>
      </c>
      <c r="F325" s="306">
        <v>6273.52</v>
      </c>
    </row>
    <row r="326" spans="1:6" x14ac:dyDescent="0.25">
      <c r="A326">
        <v>704</v>
      </c>
      <c r="B326">
        <v>170186</v>
      </c>
      <c r="C326" s="306">
        <v>4338.7</v>
      </c>
      <c r="D326">
        <v>143.33000000000001</v>
      </c>
      <c r="E326">
        <v>0.84</v>
      </c>
      <c r="F326" s="306">
        <v>6218.63</v>
      </c>
    </row>
    <row r="327" spans="1:6" x14ac:dyDescent="0.25">
      <c r="A327">
        <v>705</v>
      </c>
      <c r="B327">
        <v>170187</v>
      </c>
      <c r="C327" s="306">
        <v>4359.6000000000004</v>
      </c>
      <c r="D327">
        <v>143.33000000000001</v>
      </c>
      <c r="E327">
        <v>0.95</v>
      </c>
      <c r="F327" s="306">
        <v>6248.53</v>
      </c>
    </row>
  </sheetData>
  <mergeCells count="16">
    <mergeCell ref="A41:B41"/>
    <mergeCell ref="C41:D41"/>
    <mergeCell ref="A53:B53"/>
    <mergeCell ref="C53:D53"/>
    <mergeCell ref="A9:B9"/>
    <mergeCell ref="C9:D9"/>
    <mergeCell ref="A21:B21"/>
    <mergeCell ref="C21:D21"/>
    <mergeCell ref="A31:B31"/>
    <mergeCell ref="C31:D31"/>
    <mergeCell ref="B250:C250"/>
    <mergeCell ref="A245:A246"/>
    <mergeCell ref="B245:C246"/>
    <mergeCell ref="B247:C247"/>
    <mergeCell ref="B248:C248"/>
    <mergeCell ref="B249:C249"/>
  </mergeCells>
  <conditionalFormatting sqref="B249:J249">
    <cfRule type="expression" dxfId="1" priority="2">
      <formula>$I$3="NO"</formula>
    </cfRule>
  </conditionalFormatting>
  <conditionalFormatting sqref="B250:J250">
    <cfRule type="expression" dxfId="0" priority="1">
      <formula>$J$3="NO"</formula>
    </cfRule>
  </conditionalFormatting>
  <dataValidations count="1">
    <dataValidation type="custom" allowBlank="1" showInputMessage="1" showErrorMessage="1" errorTitle="Duplicate" sqref="B253:B257" xr:uid="{00000000-0002-0000-0800-000000000000}">
      <formula1>COUNTIF($B$253:$B$257,TEXT(B253,1))=1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4D4A4CCB722C48B943C386083F9B4F" ma:contentTypeVersion="11" ma:contentTypeDescription="Create a new document." ma:contentTypeScope="" ma:versionID="0670b5bb8390f896454158b4ec4063a7">
  <xsd:schema xmlns:xsd="http://www.w3.org/2001/XMLSchema" xmlns:xs="http://www.w3.org/2001/XMLSchema" xmlns:p="http://schemas.microsoft.com/office/2006/metadata/properties" xmlns:ns3="702b5dee-699a-4646-a578-8d871402f22c" targetNamespace="http://schemas.microsoft.com/office/2006/metadata/properties" ma:root="true" ma:fieldsID="1f25e0d5fe38a5336cfad82ea763b66b" ns3:_="">
    <xsd:import namespace="702b5dee-699a-4646-a578-8d871402f2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b5dee-699a-4646-a578-8d871402f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2b5dee-699a-4646-a578-8d871402f22c" xsi:nil="true"/>
  </documentManagement>
</p:properties>
</file>

<file path=customXml/itemProps1.xml><?xml version="1.0" encoding="utf-8"?>
<ds:datastoreItem xmlns:ds="http://schemas.openxmlformats.org/officeDocument/2006/customXml" ds:itemID="{8BAD5685-2E41-4E22-A199-42F89B1F4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45AE0D-CC99-4F78-816B-EC00867BB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b5dee-699a-4646-a578-8d871402f2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F1FD82-D51B-4594-9E62-6FAF6D47F402}">
  <ds:schemaRefs>
    <ds:schemaRef ds:uri="http://schemas.openxmlformats.org/package/2006/metadata/core-properties"/>
    <ds:schemaRef ds:uri="http://www.w3.org/XML/1998/namespace"/>
    <ds:schemaRef ds:uri="702b5dee-699a-4646-a578-8d871402f22c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Start Here</vt:lpstr>
      <vt:lpstr>Kneeboard Cards</vt:lpstr>
      <vt:lpstr>Chart E W&amp;B Form</vt:lpstr>
      <vt:lpstr>Performance Calculations</vt:lpstr>
      <vt:lpstr>TERF_FORM Common KBC</vt:lpstr>
      <vt:lpstr>FORM-West Common KBC</vt:lpstr>
      <vt:lpstr>FORM-East Common KBC</vt:lpstr>
      <vt:lpstr>Kneeboard Cards (Blank)</vt:lpstr>
      <vt:lpstr>Reference Tables</vt:lpstr>
      <vt:lpstr>NATOPS Tables</vt:lpstr>
      <vt:lpstr>Perf Tables</vt:lpstr>
      <vt:lpstr>Crew W&amp;B</vt:lpstr>
    </vt:vector>
  </TitlesOfParts>
  <Company>HPES NMCI 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 Ball</dc:creator>
  <cp:lastModifiedBy>Samaha, Brody P LT USN HT-28 (USA)</cp:lastModifiedBy>
  <cp:lastPrinted>2025-09-22T14:32:00Z</cp:lastPrinted>
  <dcterms:created xsi:type="dcterms:W3CDTF">2021-03-17T20:09:23Z</dcterms:created>
  <dcterms:modified xsi:type="dcterms:W3CDTF">2025-09-23T14:04:02Z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0x0101004F4D4A4CCB722C48B943C386083F9B4F</vt:lpwstr>
  </property>
</Properties>
</file>